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49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<sst xmlns="http://schemas.openxmlformats.org/spreadsheetml/2006/main" count="56" uniqueCount="43">
  <si>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PV 1</t>
  </si>
  <si>
    <t>PV 2</t>
  </si>
  <si>
    <t>FV</t>
  </si>
  <si>
    <t>Rate</t>
  </si>
  <si>
    <t>PMT</t>
  </si>
  <si>
    <t>PPMT</t>
  </si>
  <si>
    <t>IPMT</t>
  </si>
  <si>
    <t>Laenusumma</t>
  </si>
  <si>
    <t>Aastaintress</t>
  </si>
  <si>
    <t>Kvartalimakse</t>
  </si>
  <si>
    <t>Laenumakse</t>
  </si>
  <si>
    <t>Intressimakse</t>
  </si>
  <si>
    <t>VANA</t>
  </si>
  <si>
    <t xml:space="preserve">Laenusumma </t>
  </si>
  <si>
    <t>Intress</t>
  </si>
  <si>
    <t>Aeg</t>
  </si>
  <si>
    <t>Periood</t>
  </si>
  <si>
    <t>Laenu põhiosa</t>
  </si>
  <si>
    <t>Makse</t>
  </si>
  <si>
    <t>=($C$1-SUM($C$6:C6))*$C$2/4</t>
  </si>
  <si>
    <t>NPV</t>
  </si>
  <si>
    <t>Kommentaar</t>
  </si>
  <si>
    <t>IRR</t>
  </si>
  <si>
    <t>MIRR</t>
  </si>
  <si>
    <t>SLN</t>
  </si>
  <si>
    <t>Loe kindlasti</t>
  </si>
  <si>
    <t>DDB</t>
  </si>
  <si>
    <t>DDB1</t>
  </si>
  <si>
    <t>DDB2</t>
  </si>
  <si>
    <t>NPER</t>
  </si>
  <si>
    <t>kuud</t>
  </si>
  <si>
    <t>SYD</t>
  </si>
  <si>
    <t>SYD1</t>
  </si>
  <si>
    <t>summa</t>
  </si>
  <si>
    <t>Pandu dep</t>
  </si>
  <si>
    <t>Tagastatud</t>
  </si>
  <si>
    <t>=TODAY()</t>
  </si>
  <si>
    <t>Aasta %</t>
  </si>
  <si>
    <t xml:space="preserve">Päevas % </t>
  </si>
  <si>
    <t>päevade arv</t>
  </si>
  <si>
    <t>=DAYS360(G2,G3)</t>
  </si>
  <si>
    <t>% (summa kokku)</t>
  </si>
  <si>
    <t>kokku maksta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</si>
</sst>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3" fillId="2" borderId="0" xfId="0" applyFon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4"/>
  <sheetViews>
    <sheetView tabSelected="1" workbookViewId="0" topLeftCell="A127">
      <selection activeCell="D144" sqref="D144"/>
    </sheetView>
  </sheetViews>
  <sheetFormatPr defaultColWidth="9.140625" defaultRowHeight="12.75"/>
  <cols>
    <col min="1" max="1" width="10.28125" style="0" bestFit="1" customWidth="1"/>
    <col min="2" max="4" width="12.57421875" style="0" bestFit="1" customWidth="1"/>
    <col min="5" max="6" width="12.28125" style="0" bestFit="1" customWidth="1"/>
  </cols>
  <sheetData>
    <row r="2" spans="1:5" ht="12.75">
      <c r="A2" s="3">
        <v>1</v>
      </c>
      <c r="B2" s="2" t="s">
        <v>0</v>
      </c>
      <c r="D2">
        <v>202</v>
      </c>
      <c r="E2" t="s">
        <v>12</v>
      </c>
    </row>
    <row r="3" ht="12.75">
      <c r="B3" s="1">
        <f>PV(10%,5,1000)</f>
        <v>-3790.7867694084507</v>
      </c>
    </row>
    <row r="4" spans="1:5" ht="12.75">
      <c r="A4" s="3">
        <v>2</v>
      </c>
      <c r="B4" s="2" t="s">
        <v>1</v>
      </c>
      <c r="C4" s="1"/>
      <c r="D4">
        <v>203</v>
      </c>
      <c r="E4" t="s">
        <v>12</v>
      </c>
    </row>
    <row r="5" spans="2:3" ht="12.75">
      <c r="B5" s="1">
        <f>PV(10%,5,,5000)</f>
        <v>-3104.6066152957746</v>
      </c>
      <c r="C5" s="1"/>
    </row>
    <row r="7" spans="1:5" ht="12.75">
      <c r="A7" s="3">
        <v>3</v>
      </c>
      <c r="B7" s="2" t="s">
        <v>2</v>
      </c>
      <c r="D7">
        <v>206</v>
      </c>
      <c r="E7" t="s">
        <v>12</v>
      </c>
    </row>
    <row r="8" ht="12.75">
      <c r="B8" s="1">
        <f>FV(11%,30,-2000,,1)</f>
        <v>441826.3489967585</v>
      </c>
    </row>
    <row r="10" spans="1:5" ht="12.75">
      <c r="A10" s="3">
        <v>4</v>
      </c>
      <c r="B10" s="2" t="s">
        <v>3</v>
      </c>
      <c r="D10">
        <v>209</v>
      </c>
      <c r="E10" t="s">
        <v>12</v>
      </c>
    </row>
    <row r="11" ht="12.75">
      <c r="B11" s="5">
        <f>RATE(5,1000,-3000)</f>
        <v>0.19857709787279595</v>
      </c>
    </row>
    <row r="13" spans="1:5" ht="12.75">
      <c r="A13" s="3">
        <v>5</v>
      </c>
      <c r="B13" s="2" t="s">
        <v>4</v>
      </c>
      <c r="C13" s="2" t="s">
        <v>4</v>
      </c>
      <c r="D13">
        <v>207</v>
      </c>
      <c r="E13" t="s">
        <v>12</v>
      </c>
    </row>
    <row r="14" spans="2:3" ht="12.75">
      <c r="B14" s="1">
        <f>PMT(12%/12,25*12,100000)</f>
        <v>-1053.2241421976278</v>
      </c>
      <c r="C14" s="1">
        <f>PMT(12%/4,25*4,100000)</f>
        <v>-3164.6665898489164</v>
      </c>
    </row>
    <row r="15" ht="12.75">
      <c r="B15" s="1"/>
    </row>
    <row r="16" spans="1:5" ht="12.75">
      <c r="A16" s="3">
        <v>6</v>
      </c>
      <c r="B16" s="2" t="s">
        <v>5</v>
      </c>
      <c r="D16">
        <v>207</v>
      </c>
      <c r="E16" t="s">
        <v>12</v>
      </c>
    </row>
    <row r="17" ht="12.75">
      <c r="B17" s="1">
        <f>PPMT(12%/12,1,25*12,100000)</f>
        <v>-53.22414219762777</v>
      </c>
    </row>
    <row r="19" spans="1:5" ht="12.75">
      <c r="A19" s="3">
        <v>7</v>
      </c>
      <c r="B19" s="2" t="s">
        <v>6</v>
      </c>
      <c r="D19">
        <v>207</v>
      </c>
      <c r="E19" t="s">
        <v>12</v>
      </c>
    </row>
    <row r="20" ht="12.75">
      <c r="B20" s="1">
        <f>IPMT(12%/12,25*12,25*12,100000)</f>
        <v>-10.427961803937796</v>
      </c>
    </row>
    <row r="22" spans="1:3" ht="12.75">
      <c r="A22" s="3">
        <v>8</v>
      </c>
      <c r="B22" t="s">
        <v>7</v>
      </c>
      <c r="C22">
        <v>200000</v>
      </c>
    </row>
    <row r="23" spans="2:3" ht="12.75">
      <c r="B23" t="s">
        <v>8</v>
      </c>
      <c r="C23" s="4">
        <v>0.12</v>
      </c>
    </row>
    <row r="24" spans="2:3" ht="12.75">
      <c r="B24" t="s">
        <v>9</v>
      </c>
      <c r="C24" s="6">
        <f>PMT(C23/4,10*4,C22)</f>
        <v>-8652.47557809258</v>
      </c>
    </row>
    <row r="26" spans="2:3" ht="12.75">
      <c r="B26" t="s">
        <v>10</v>
      </c>
      <c r="C26" t="s">
        <v>11</v>
      </c>
    </row>
    <row r="27" spans="1:3" ht="12.75">
      <c r="A27">
        <v>1</v>
      </c>
      <c r="B27" s="1">
        <f>PPMT($C$23/4,A27,40,$C$22)</f>
        <v>-2652.4755780925807</v>
      </c>
      <c r="C27" s="1">
        <f>IPMT($C$23/4,A27,40,$C$22)</f>
        <v>-6000</v>
      </c>
    </row>
    <row r="28" spans="1:3" ht="12.75">
      <c r="A28">
        <v>2</v>
      </c>
      <c r="B28" s="1">
        <f>PPMT($C$23/4,A28,40,$C$22)</f>
        <v>-2732.0498454353583</v>
      </c>
      <c r="C28" s="1">
        <f>IPMT($C$23/4,A28,40,$C$22)</f>
        <v>-5920.425732657222</v>
      </c>
    </row>
    <row r="29" spans="1:3" ht="12.75">
      <c r="A29">
        <v>3</v>
      </c>
      <c r="B29" s="1">
        <f>PPMT($C$23/4,A29,40,$C$22)</f>
        <v>-2814.011340798419</v>
      </c>
      <c r="C29" s="1">
        <f>IPMT($C$23/4,A29,40,$C$22)</f>
        <v>-5838.464237294162</v>
      </c>
    </row>
    <row r="30" spans="1:3" ht="12.75">
      <c r="A30">
        <v>4</v>
      </c>
      <c r="B30" s="1">
        <f>PPMT($C$23/4,A30,40,$C$22)</f>
        <v>-2898.431681022372</v>
      </c>
      <c r="C30" s="1">
        <f>IPMT($C$23/4,A30,40,$C$22)</f>
        <v>-5754.043897070209</v>
      </c>
    </row>
    <row r="31" spans="1:3" ht="12.75">
      <c r="A31">
        <v>5</v>
      </c>
      <c r="B31" s="1">
        <f>PPMT($C$23/4,A31,40,$C$22)</f>
        <v>-2985.384631453043</v>
      </c>
      <c r="C31" s="1">
        <f>IPMT($C$23/4,A31,40,$C$22)</f>
        <v>-5667.090946639538</v>
      </c>
    </row>
    <row r="32" spans="1:3" ht="12.75">
      <c r="A32">
        <v>6</v>
      </c>
      <c r="B32" s="1">
        <f>PPMT($C$23/4,A32,40,$C$22)</f>
        <v>-3074.9461703966344</v>
      </c>
      <c r="C32" s="1">
        <f>IPMT($C$23/4,A32,40,$C$22)</f>
        <v>-5577.529407695946</v>
      </c>
    </row>
    <row r="33" spans="1:3" ht="12.75">
      <c r="A33">
        <v>7</v>
      </c>
      <c r="B33" s="1">
        <f>PPMT($C$23/4,A33,40,$C$22)</f>
        <v>-3167.194555508532</v>
      </c>
      <c r="C33" s="1">
        <f>IPMT($C$23/4,A33,40,$C$22)</f>
        <v>-5485.2810225840485</v>
      </c>
    </row>
    <row r="34" spans="1:3" ht="12.75">
      <c r="A34">
        <v>8</v>
      </c>
      <c r="B34" s="1">
        <f>PPMT($C$23/4,A34,40,$C$22)</f>
        <v>-3262.210392173789</v>
      </c>
      <c r="C34" s="1">
        <f>IPMT($C$23/4,A34,40,$C$22)</f>
        <v>-5390.265185918792</v>
      </c>
    </row>
    <row r="35" spans="1:3" ht="12.75">
      <c r="A35">
        <v>9</v>
      </c>
      <c r="B35" s="1">
        <f>PPMT($C$23/4,A35,40,$C$22)</f>
        <v>-3360.076703939003</v>
      </c>
      <c r="C35" s="1">
        <f>IPMT($C$23/4,A35,40,$C$22)</f>
        <v>-5292.398874153578</v>
      </c>
    </row>
    <row r="36" spans="1:3" ht="12.75">
      <c r="A36">
        <v>10</v>
      </c>
      <c r="B36" s="1">
        <f>PPMT($C$23/4,A36,40,$C$22)</f>
        <v>-3460.8790050571724</v>
      </c>
      <c r="C36" s="1">
        <f>IPMT($C$23/4,A36,40,$C$22)</f>
        <v>-5191.596573035408</v>
      </c>
    </row>
    <row r="37" spans="1:3" ht="12.75">
      <c r="A37">
        <v>11</v>
      </c>
      <c r="B37" s="1">
        <f>PPMT($C$23/4,A37,40,$C$22)</f>
        <v>-3564.7053752088887</v>
      </c>
      <c r="C37" s="1">
        <f>IPMT($C$23/4,A37,40,$C$22)</f>
        <v>-5087.770202883692</v>
      </c>
    </row>
    <row r="38" spans="1:3" ht="12.75">
      <c r="A38">
        <v>12</v>
      </c>
      <c r="B38" s="1">
        <f>PPMT($C$23/4,A38,40,$C$22)</f>
        <v>-3671.646536465155</v>
      </c>
      <c r="C38" s="1">
        <f>IPMT($C$23/4,A38,40,$C$22)</f>
        <v>-4980.829041627426</v>
      </c>
    </row>
    <row r="39" spans="1:3" ht="12.75">
      <c r="A39">
        <v>13</v>
      </c>
      <c r="B39" s="1">
        <f>PPMT($C$23/4,A39,40,$C$22)</f>
        <v>-3781.795932559108</v>
      </c>
      <c r="C39" s="1">
        <f>IPMT($C$23/4,A39,40,$C$22)</f>
        <v>-4870.6796455334725</v>
      </c>
    </row>
    <row r="40" spans="1:3" ht="12.75">
      <c r="A40">
        <v>14</v>
      </c>
      <c r="B40" s="1">
        <f>PPMT($C$23/4,A40,40,$C$22)</f>
        <v>-3895.249810535882</v>
      </c>
      <c r="C40" s="1">
        <f>IPMT($C$23/4,A40,40,$C$22)</f>
        <v>-4757.225767556699</v>
      </c>
    </row>
    <row r="41" spans="1:3" ht="12.75">
      <c r="A41">
        <v>15</v>
      </c>
      <c r="B41" s="1">
        <f>PPMT($C$23/4,A41,40,$C$22)</f>
        <v>-4012.1073048519584</v>
      </c>
      <c r="C41" s="1">
        <f>IPMT($C$23/4,A41,40,$C$22)</f>
        <v>-4640.368273240622</v>
      </c>
    </row>
    <row r="42" spans="1:3" ht="12.75">
      <c r="A42">
        <v>16</v>
      </c>
      <c r="B42" s="1">
        <f>PPMT($C$23/4,A42,40,$C$22)</f>
        <v>-4132.4705239975165</v>
      </c>
      <c r="C42" s="1">
        <f>IPMT($C$23/4,A42,40,$C$22)</f>
        <v>-4520.005054095064</v>
      </c>
    </row>
    <row r="43" spans="1:3" ht="12.75">
      <c r="A43">
        <v>17</v>
      </c>
      <c r="B43" s="1">
        <f>PPMT($C$23/4,A43,40,$C$22)</f>
        <v>-4256.4446397174415</v>
      </c>
      <c r="C43" s="1">
        <f>IPMT($C$23/4,A43,40,$C$22)</f>
        <v>-4396.030938375139</v>
      </c>
    </row>
    <row r="44" spans="1:3" ht="12.75">
      <c r="A44">
        <v>18</v>
      </c>
      <c r="B44" s="1">
        <f>PPMT($C$23/4,A44,40,$C$22)</f>
        <v>-4384.137978908965</v>
      </c>
      <c r="C44" s="1">
        <f>IPMT($C$23/4,A44,40,$C$22)</f>
        <v>-4268.337599183616</v>
      </c>
    </row>
    <row r="45" spans="1:3" ht="12.75">
      <c r="A45">
        <v>19</v>
      </c>
      <c r="B45" s="1">
        <f>PPMT($C$23/4,A45,40,$C$22)</f>
        <v>-4515.662118276234</v>
      </c>
      <c r="C45" s="1">
        <f>IPMT($C$23/4,A45,40,$C$22)</f>
        <v>-4136.813459816347</v>
      </c>
    </row>
    <row r="46" spans="1:3" ht="12.75">
      <c r="A46">
        <v>20</v>
      </c>
      <c r="B46" s="1">
        <f>PPMT($C$23/4,A46,40,$C$22)</f>
        <v>-4651.13198182452</v>
      </c>
      <c r="C46" s="1">
        <f>IPMT($C$23/4,A46,40,$C$22)</f>
        <v>-4001.3435962680605</v>
      </c>
    </row>
    <row r="47" spans="1:3" ht="12.75">
      <c r="A47">
        <v>21</v>
      </c>
      <c r="B47" s="1">
        <f>PPMT($C$23/4,A47,40,$C$22)</f>
        <v>-4790.665941279257</v>
      </c>
      <c r="C47" s="1">
        <f>IPMT($C$23/4,A47,40,$C$22)</f>
        <v>-3861.809636813324</v>
      </c>
    </row>
    <row r="48" spans="1:3" ht="12.75">
      <c r="A48">
        <v>22</v>
      </c>
      <c r="B48" s="1">
        <f>PPMT($C$23/4,A48,40,$C$22)</f>
        <v>-4934.385919517634</v>
      </c>
      <c r="C48" s="1">
        <f>IPMT($C$23/4,A48,40,$C$22)</f>
        <v>-3718.0896585749474</v>
      </c>
    </row>
    <row r="49" spans="1:3" ht="12.75">
      <c r="A49">
        <v>23</v>
      </c>
      <c r="B49" s="1">
        <f>PPMT($C$23/4,A49,40,$C$22)</f>
        <v>-5082.417497103164</v>
      </c>
      <c r="C49" s="1">
        <f>IPMT($C$23/4,A49,40,$C$22)</f>
        <v>-3570.058080989417</v>
      </c>
    </row>
    <row r="50" spans="1:3" ht="12.75">
      <c r="A50">
        <v>24</v>
      </c>
      <c r="B50" s="1">
        <f>PPMT($C$23/4,A50,40,$C$22)</f>
        <v>-5234.890022016259</v>
      </c>
      <c r="C50" s="1">
        <f>IPMT($C$23/4,A50,40,$C$22)</f>
        <v>-3417.585556076322</v>
      </c>
    </row>
    <row r="51" spans="1:3" ht="12.75">
      <c r="A51">
        <v>25</v>
      </c>
      <c r="B51" s="1">
        <f>PPMT($C$23/4,A51,40,$C$22)</f>
        <v>-5391.936722676746</v>
      </c>
      <c r="C51" s="1">
        <f>IPMT($C$23/4,A51,40,$C$22)</f>
        <v>-3260.5388554158344</v>
      </c>
    </row>
    <row r="52" spans="1:3" ht="12.75">
      <c r="A52">
        <v>26</v>
      </c>
      <c r="B52" s="1">
        <f>PPMT($C$23/4,A52,40,$C$22)</f>
        <v>-5553.694824357046</v>
      </c>
      <c r="C52" s="1">
        <f>IPMT($C$23/4,A52,40,$C$22)</f>
        <v>-3098.7807537355343</v>
      </c>
    </row>
    <row r="53" spans="1:3" ht="12.75">
      <c r="A53">
        <v>27</v>
      </c>
      <c r="B53" s="1">
        <f>PPMT($C$23/4,A53,40,$C$22)</f>
        <v>-5720.305669087762</v>
      </c>
      <c r="C53" s="1">
        <f>IPMT($C$23/4,A53,40,$C$22)</f>
        <v>-2932.169909004819</v>
      </c>
    </row>
    <row r="54" spans="1:3" ht="12.75">
      <c r="A54">
        <v>28</v>
      </c>
      <c r="B54" s="1">
        <f>PPMT($C$23/4,A54,40,$C$22)</f>
        <v>-5891.914839160392</v>
      </c>
      <c r="C54" s="1">
        <f>IPMT($C$23/4,A54,40,$C$22)</f>
        <v>-2760.5607389321885</v>
      </c>
    </row>
    <row r="55" spans="1:3" ht="12.75">
      <c r="A55">
        <v>29</v>
      </c>
      <c r="B55" s="1">
        <f>PPMT($C$23/4,A55,40,$C$22)</f>
        <v>-6068.672284335205</v>
      </c>
      <c r="C55" s="1">
        <f>IPMT($C$23/4,A55,40,$C$22)</f>
        <v>-2583.8032937573753</v>
      </c>
    </row>
    <row r="56" spans="1:3" ht="12.75">
      <c r="A56">
        <v>30</v>
      </c>
      <c r="B56" s="1">
        <f>PPMT($C$23/4,A56,40,$C$22)</f>
        <v>-6250.732452865259</v>
      </c>
      <c r="C56" s="1">
        <f>IPMT($C$23/4,A56,40,$C$22)</f>
        <v>-2401.7431252273213</v>
      </c>
    </row>
    <row r="57" spans="1:3" ht="12.75">
      <c r="A57">
        <v>31</v>
      </c>
      <c r="B57" s="1">
        <f>PPMT($C$23/4,A57,40,$C$22)</f>
        <v>-6438.254426451218</v>
      </c>
      <c r="C57" s="1">
        <f>IPMT($C$23/4,A57,40,$C$22)</f>
        <v>-2214.2211516413627</v>
      </c>
    </row>
    <row r="58" spans="1:3" ht="12.75">
      <c r="A58">
        <v>32</v>
      </c>
      <c r="B58" s="1">
        <f>PPMT($C$23/4,A58,40,$C$22)</f>
        <v>-6631.402059244756</v>
      </c>
      <c r="C58" s="1">
        <f>IPMT($C$23/4,A58,40,$C$22)</f>
        <v>-2021.0735188478243</v>
      </c>
    </row>
    <row r="59" spans="1:3" ht="12.75">
      <c r="A59">
        <v>33</v>
      </c>
      <c r="B59" s="1">
        <f>PPMT($C$23/4,A59,40,$C$22)</f>
        <v>-6830.344121022095</v>
      </c>
      <c r="C59" s="1">
        <f>IPMT($C$23/4,A59,40,$C$22)</f>
        <v>-1822.1314570704853</v>
      </c>
    </row>
    <row r="60" spans="1:3" ht="12.75">
      <c r="A60">
        <v>34</v>
      </c>
      <c r="B60" s="1">
        <f>PPMT($C$23/4,A60,40,$C$22)</f>
        <v>-7035.254444652762</v>
      </c>
      <c r="C60" s="1">
        <f>IPMT($C$23/4,A60,40,$C$22)</f>
        <v>-1617.2211334398191</v>
      </c>
    </row>
    <row r="61" spans="1:3" ht="12.75">
      <c r="A61">
        <v>35</v>
      </c>
      <c r="B61" s="1">
        <f>PPMT($C$23/4,A61,40,$C$22)</f>
        <v>-7246.312077992341</v>
      </c>
      <c r="C61" s="1">
        <f>IPMT($C$23/4,A61,40,$C$22)</f>
        <v>-1406.1635001002396</v>
      </c>
    </row>
    <row r="62" spans="1:3" ht="12.75">
      <c r="A62">
        <v>36</v>
      </c>
      <c r="B62" s="1">
        <f>PPMT($C$23/4,A62,40,$C$22)</f>
        <v>-7463.70144033211</v>
      </c>
      <c r="C62" s="1">
        <f>IPMT($C$23/4,A62,40,$C$22)</f>
        <v>-1188.7741377604705</v>
      </c>
    </row>
    <row r="63" spans="1:3" ht="12.75">
      <c r="A63">
        <v>37</v>
      </c>
      <c r="B63" s="1">
        <f>PPMT($C$23/4,A63,40,$C$22)</f>
        <v>-7687.612483542077</v>
      </c>
      <c r="C63" s="1">
        <f>IPMT($C$23/4,A63,40,$C$22)</f>
        <v>-964.8630945505039</v>
      </c>
    </row>
    <row r="64" spans="1:4" ht="12.75">
      <c r="A64">
        <v>38</v>
      </c>
      <c r="B64" s="1">
        <f>PPMT($C$23/4,A64,40,$C$22)</f>
        <v>-7918.240858048335</v>
      </c>
      <c r="C64" s="1">
        <f>IPMT($C$23/4,A64,40,$C$22)</f>
        <v>-734.2347200442455</v>
      </c>
      <c r="D64" s="8" t="s">
        <v>19</v>
      </c>
    </row>
    <row r="65" spans="1:3" ht="12.75">
      <c r="A65">
        <v>39</v>
      </c>
      <c r="B65" s="1">
        <f>PPMT($C$23/4,A65,40,$C$22)</f>
        <v>-8155.788083789785</v>
      </c>
      <c r="C65" s="1">
        <f>IPMT($C$23/4,A65,40,$C$22)</f>
        <v>-496.6874943027959</v>
      </c>
    </row>
    <row r="66" spans="1:3" ht="12.75">
      <c r="A66">
        <v>40</v>
      </c>
      <c r="B66" s="1">
        <f>PPMT($C$23/4,A66,40,$C$22)</f>
        <v>-8400.461726303482</v>
      </c>
      <c r="C66" s="1">
        <f>IPMT($C$23/4,A66,40,$C$22)</f>
        <v>-252.01385178909985</v>
      </c>
    </row>
    <row r="67" spans="2:3" ht="12.75">
      <c r="B67" s="1">
        <f>SUM(B27:B66)</f>
        <v>-200000.00000000023</v>
      </c>
      <c r="C67" s="1">
        <f>SUM(C27:C66)</f>
        <v>-146099.02312370297</v>
      </c>
    </row>
    <row r="69" spans="1:2" ht="12.75">
      <c r="A69" t="s">
        <v>13</v>
      </c>
      <c r="B69">
        <v>200000</v>
      </c>
    </row>
    <row r="70" spans="1:2" ht="12.75">
      <c r="A70" t="s">
        <v>14</v>
      </c>
      <c r="B70" s="4">
        <v>0.15</v>
      </c>
    </row>
    <row r="71" spans="1:2" ht="12.75">
      <c r="A71" t="s">
        <v>15</v>
      </c>
      <c r="B71">
        <v>10</v>
      </c>
    </row>
    <row r="73" spans="1:5" ht="12.75">
      <c r="A73" s="3">
        <v>9</v>
      </c>
      <c r="B73" t="s">
        <v>16</v>
      </c>
      <c r="C73" t="s">
        <v>17</v>
      </c>
      <c r="D73" t="s">
        <v>14</v>
      </c>
      <c r="E73" t="s">
        <v>18</v>
      </c>
    </row>
    <row r="74" spans="2:5" ht="12.75">
      <c r="B74">
        <v>1</v>
      </c>
      <c r="C74">
        <f>$B$69/($B$71*4)</f>
        <v>5000</v>
      </c>
      <c r="D74" s="7">
        <f>B69*(B70/4)</f>
        <v>7500</v>
      </c>
      <c r="E74" s="8">
        <f>C74+D74</f>
        <v>12500</v>
      </c>
    </row>
    <row r="75" spans="2:5" ht="12.75">
      <c r="B75">
        <v>2</v>
      </c>
      <c r="C75">
        <f aca="true" t="shared" si="0" ref="C75:C113">$B$69/($B$71*4)</f>
        <v>5000</v>
      </c>
      <c r="D75" s="9">
        <f>($B$69-SUM($C$74:C74))*$B$70/4</f>
        <v>7312.5</v>
      </c>
      <c r="E75">
        <f aca="true" t="shared" si="1" ref="E75:E109">C75+D75</f>
        <v>12312.5</v>
      </c>
    </row>
    <row r="76" spans="2:5" ht="12.75">
      <c r="B76">
        <v>3</v>
      </c>
      <c r="C76">
        <f t="shared" si="0"/>
        <v>5000</v>
      </c>
      <c r="D76" s="9">
        <f>($B$69-SUM($C$74:C75))*$B$70/4</f>
        <v>7125</v>
      </c>
      <c r="E76">
        <f t="shared" si="1"/>
        <v>12125</v>
      </c>
    </row>
    <row r="77" spans="2:5" ht="12.75">
      <c r="B77">
        <v>4</v>
      </c>
      <c r="C77">
        <f t="shared" si="0"/>
        <v>5000</v>
      </c>
      <c r="D77" s="9">
        <f>($B$69-SUM($C$74:C76))*$B$70/4</f>
        <v>6937.5</v>
      </c>
      <c r="E77">
        <f t="shared" si="1"/>
        <v>11937.5</v>
      </c>
    </row>
    <row r="78" spans="2:5" ht="12.75">
      <c r="B78">
        <v>5</v>
      </c>
      <c r="C78">
        <f t="shared" si="0"/>
        <v>5000</v>
      </c>
      <c r="D78" s="9">
        <f>($B$69-SUM($C$74:C77))*$B$70/4</f>
        <v>6750</v>
      </c>
      <c r="E78">
        <f t="shared" si="1"/>
        <v>11750</v>
      </c>
    </row>
    <row r="79" spans="2:5" ht="12.75">
      <c r="B79">
        <v>6</v>
      </c>
      <c r="C79">
        <f t="shared" si="0"/>
        <v>5000</v>
      </c>
      <c r="D79" s="9">
        <f>($B$69-SUM($C$74:C78))*$B$70/4</f>
        <v>6562.5</v>
      </c>
      <c r="E79">
        <f t="shared" si="1"/>
        <v>11562.5</v>
      </c>
    </row>
    <row r="80" spans="2:5" ht="12.75">
      <c r="B80">
        <v>7</v>
      </c>
      <c r="C80">
        <f t="shared" si="0"/>
        <v>5000</v>
      </c>
      <c r="D80" s="9">
        <f>($B$69-SUM($C$74:C79))*$B$70/4</f>
        <v>6375</v>
      </c>
      <c r="E80">
        <f t="shared" si="1"/>
        <v>11375</v>
      </c>
    </row>
    <row r="81" spans="2:5" ht="12.75">
      <c r="B81">
        <v>8</v>
      </c>
      <c r="C81">
        <f t="shared" si="0"/>
        <v>5000</v>
      </c>
      <c r="D81" s="9">
        <f>($B$69-SUM($C$74:C80))*$B$70/4</f>
        <v>6187.5</v>
      </c>
      <c r="E81">
        <f t="shared" si="1"/>
        <v>11187.5</v>
      </c>
    </row>
    <row r="82" spans="2:5" ht="12.75">
      <c r="B82">
        <v>9</v>
      </c>
      <c r="C82">
        <f t="shared" si="0"/>
        <v>5000</v>
      </c>
      <c r="D82" s="9">
        <f>($B$69-SUM($C$74:C81))*$B$70/4</f>
        <v>6000</v>
      </c>
      <c r="E82">
        <f t="shared" si="1"/>
        <v>11000</v>
      </c>
    </row>
    <row r="83" spans="2:5" ht="12.75">
      <c r="B83">
        <v>10</v>
      </c>
      <c r="C83">
        <f t="shared" si="0"/>
        <v>5000</v>
      </c>
      <c r="D83" s="9">
        <f>($B$69-SUM($C$74:C82))*$B$70/4</f>
        <v>5812.5</v>
      </c>
      <c r="E83">
        <f t="shared" si="1"/>
        <v>10812.5</v>
      </c>
    </row>
    <row r="84" spans="2:5" ht="12.75">
      <c r="B84">
        <v>11</v>
      </c>
      <c r="C84">
        <f t="shared" si="0"/>
        <v>5000</v>
      </c>
      <c r="D84" s="9">
        <f>($B$69-SUM($C$74:C83))*$B$70/4</f>
        <v>5625</v>
      </c>
      <c r="E84">
        <f t="shared" si="1"/>
        <v>10625</v>
      </c>
    </row>
    <row r="85" spans="2:5" ht="12.75">
      <c r="B85">
        <v>12</v>
      </c>
      <c r="C85">
        <f t="shared" si="0"/>
        <v>5000</v>
      </c>
      <c r="D85" s="9">
        <f>($B$69-SUM($C$74:C84))*$B$70/4</f>
        <v>5437.5</v>
      </c>
      <c r="E85">
        <f t="shared" si="1"/>
        <v>10437.5</v>
      </c>
    </row>
    <row r="86" spans="2:5" ht="12.75">
      <c r="B86">
        <v>13</v>
      </c>
      <c r="C86">
        <f t="shared" si="0"/>
        <v>5000</v>
      </c>
      <c r="D86" s="9">
        <f>($B$69-SUM($C$74:C85))*$B$70/4</f>
        <v>5250</v>
      </c>
      <c r="E86">
        <f t="shared" si="1"/>
        <v>10250</v>
      </c>
    </row>
    <row r="87" spans="2:5" ht="12.75">
      <c r="B87">
        <v>14</v>
      </c>
      <c r="C87">
        <f t="shared" si="0"/>
        <v>5000</v>
      </c>
      <c r="D87" s="9">
        <f>($B$69-SUM($C$74:C86))*$B$70/4</f>
        <v>5062.5</v>
      </c>
      <c r="E87">
        <f t="shared" si="1"/>
        <v>10062.5</v>
      </c>
    </row>
    <row r="88" spans="2:5" ht="12.75">
      <c r="B88">
        <v>15</v>
      </c>
      <c r="C88">
        <f t="shared" si="0"/>
        <v>5000</v>
      </c>
      <c r="D88" s="9">
        <f>($B$69-SUM($C$74:C87))*$B$70/4</f>
        <v>4875</v>
      </c>
      <c r="E88">
        <f t="shared" si="1"/>
        <v>9875</v>
      </c>
    </row>
    <row r="89" spans="2:5" ht="12.75">
      <c r="B89">
        <v>16</v>
      </c>
      <c r="C89">
        <f t="shared" si="0"/>
        <v>5000</v>
      </c>
      <c r="D89" s="9">
        <f>($B$69-SUM($C$74:C88))*$B$70/4</f>
        <v>4687.5</v>
      </c>
      <c r="E89">
        <f t="shared" si="1"/>
        <v>9687.5</v>
      </c>
    </row>
    <row r="90" spans="2:5" ht="12.75">
      <c r="B90">
        <v>17</v>
      </c>
      <c r="C90">
        <f t="shared" si="0"/>
        <v>5000</v>
      </c>
      <c r="D90" s="9">
        <f>($B$69-SUM($C$74:C89))*$B$70/4</f>
        <v>4500</v>
      </c>
      <c r="E90">
        <f t="shared" si="1"/>
        <v>9500</v>
      </c>
    </row>
    <row r="91" spans="2:5" ht="12.75">
      <c r="B91">
        <v>18</v>
      </c>
      <c r="C91">
        <f t="shared" si="0"/>
        <v>5000</v>
      </c>
      <c r="D91" s="9">
        <f>($B$69-SUM($C$74:C90))*$B$70/4</f>
        <v>4312.5</v>
      </c>
      <c r="E91">
        <f t="shared" si="1"/>
        <v>9312.5</v>
      </c>
    </row>
    <row r="92" spans="2:5" ht="12.75">
      <c r="B92">
        <v>19</v>
      </c>
      <c r="C92">
        <f t="shared" si="0"/>
        <v>5000</v>
      </c>
      <c r="D92" s="9">
        <f>($B$69-SUM($C$74:C91))*$B$70/4</f>
        <v>4125</v>
      </c>
      <c r="E92">
        <f t="shared" si="1"/>
        <v>9125</v>
      </c>
    </row>
    <row r="93" spans="2:5" ht="12.75">
      <c r="B93">
        <v>20</v>
      </c>
      <c r="C93">
        <f t="shared" si="0"/>
        <v>5000</v>
      </c>
      <c r="D93" s="9">
        <f>($B$69-SUM($C$74:C92))*$B$70/4</f>
        <v>3937.5</v>
      </c>
      <c r="E93">
        <f t="shared" si="1"/>
        <v>8937.5</v>
      </c>
    </row>
    <row r="94" spans="2:5" ht="12.75">
      <c r="B94">
        <v>21</v>
      </c>
      <c r="C94">
        <f t="shared" si="0"/>
        <v>5000</v>
      </c>
      <c r="D94" s="9">
        <f>($B$69-SUM($C$74:C93))*$B$70/4</f>
        <v>3750</v>
      </c>
      <c r="E94">
        <f t="shared" si="1"/>
        <v>8750</v>
      </c>
    </row>
    <row r="95" spans="2:5" ht="12.75">
      <c r="B95">
        <v>22</v>
      </c>
      <c r="C95">
        <f t="shared" si="0"/>
        <v>5000</v>
      </c>
      <c r="D95" s="9">
        <f>($B$69-SUM($C$74:C94))*$B$70/4</f>
        <v>3562.5</v>
      </c>
      <c r="E95">
        <f t="shared" si="1"/>
        <v>8562.5</v>
      </c>
    </row>
    <row r="96" spans="2:5" ht="12.75">
      <c r="B96">
        <v>23</v>
      </c>
      <c r="C96">
        <f t="shared" si="0"/>
        <v>5000</v>
      </c>
      <c r="D96" s="9">
        <f>($B$69-SUM($C$74:C95))*$B$70/4</f>
        <v>3375</v>
      </c>
      <c r="E96">
        <f t="shared" si="1"/>
        <v>8375</v>
      </c>
    </row>
    <row r="97" spans="2:5" ht="12.75">
      <c r="B97">
        <v>24</v>
      </c>
      <c r="C97">
        <f t="shared" si="0"/>
        <v>5000</v>
      </c>
      <c r="D97" s="9">
        <f>($B$69-SUM($C$74:C96))*$B$70/4</f>
        <v>3187.5</v>
      </c>
      <c r="E97">
        <f t="shared" si="1"/>
        <v>8187.5</v>
      </c>
    </row>
    <row r="98" spans="2:5" ht="12.75">
      <c r="B98">
        <v>25</v>
      </c>
      <c r="C98">
        <f t="shared" si="0"/>
        <v>5000</v>
      </c>
      <c r="D98" s="9">
        <f>($B$69-SUM($C$74:C97))*$B$70/4</f>
        <v>3000</v>
      </c>
      <c r="E98">
        <f t="shared" si="1"/>
        <v>8000</v>
      </c>
    </row>
    <row r="99" spans="2:5" ht="12.75">
      <c r="B99">
        <v>26</v>
      </c>
      <c r="C99">
        <f t="shared" si="0"/>
        <v>5000</v>
      </c>
      <c r="D99" s="9">
        <f>($B$69-SUM($C$74:C98))*$B$70/4</f>
        <v>2812.5</v>
      </c>
      <c r="E99">
        <f t="shared" si="1"/>
        <v>7812.5</v>
      </c>
    </row>
    <row r="100" spans="2:5" ht="12.75">
      <c r="B100">
        <v>27</v>
      </c>
      <c r="C100">
        <f t="shared" si="0"/>
        <v>5000</v>
      </c>
      <c r="D100" s="9">
        <f>($B$69-SUM($C$74:C99))*$B$70/4</f>
        <v>2625</v>
      </c>
      <c r="E100">
        <f t="shared" si="1"/>
        <v>7625</v>
      </c>
    </row>
    <row r="101" spans="2:5" ht="12.75">
      <c r="B101">
        <v>28</v>
      </c>
      <c r="C101">
        <f t="shared" si="0"/>
        <v>5000</v>
      </c>
      <c r="D101" s="9">
        <f>($B$69-SUM($C$74:C100))*$B$70/4</f>
        <v>2437.5</v>
      </c>
      <c r="E101">
        <f t="shared" si="1"/>
        <v>7437.5</v>
      </c>
    </row>
    <row r="102" spans="2:5" ht="12.75">
      <c r="B102">
        <v>29</v>
      </c>
      <c r="C102">
        <f t="shared" si="0"/>
        <v>5000</v>
      </c>
      <c r="D102" s="9">
        <f>($B$69-SUM($C$74:C101))*$B$70/4</f>
        <v>2250</v>
      </c>
      <c r="E102">
        <f t="shared" si="1"/>
        <v>7250</v>
      </c>
    </row>
    <row r="103" spans="2:5" ht="12.75">
      <c r="B103">
        <v>30</v>
      </c>
      <c r="C103">
        <f t="shared" si="0"/>
        <v>5000</v>
      </c>
      <c r="D103" s="9">
        <f>($B$69-SUM($C$74:C102))*$B$70/4</f>
        <v>2062.5</v>
      </c>
      <c r="E103">
        <f t="shared" si="1"/>
        <v>7062.5</v>
      </c>
    </row>
    <row r="104" spans="2:5" ht="12.75">
      <c r="B104">
        <v>31</v>
      </c>
      <c r="C104">
        <f t="shared" si="0"/>
        <v>5000</v>
      </c>
      <c r="D104" s="9">
        <f>($B$69-SUM($C$74:C103))*$B$70/4</f>
        <v>1875</v>
      </c>
      <c r="E104">
        <f t="shared" si="1"/>
        <v>6875</v>
      </c>
    </row>
    <row r="105" spans="2:5" ht="12.75">
      <c r="B105">
        <v>32</v>
      </c>
      <c r="C105">
        <f t="shared" si="0"/>
        <v>5000</v>
      </c>
      <c r="D105" s="9">
        <f>($B$69-SUM($C$74:C104))*$B$70/4</f>
        <v>1687.5</v>
      </c>
      <c r="E105">
        <f t="shared" si="1"/>
        <v>6687.5</v>
      </c>
    </row>
    <row r="106" spans="2:5" ht="12.75">
      <c r="B106">
        <v>33</v>
      </c>
      <c r="C106">
        <f t="shared" si="0"/>
        <v>5000</v>
      </c>
      <c r="D106" s="9">
        <f>($B$69-SUM($C$74:C105))*$B$70/4</f>
        <v>1500</v>
      </c>
      <c r="E106">
        <f t="shared" si="1"/>
        <v>6500</v>
      </c>
    </row>
    <row r="107" spans="2:5" ht="12.75">
      <c r="B107">
        <v>34</v>
      </c>
      <c r="C107">
        <f t="shared" si="0"/>
        <v>5000</v>
      </c>
      <c r="D107" s="9">
        <f>($B$69-SUM($C$74:C106))*$B$70/4</f>
        <v>1312.5</v>
      </c>
      <c r="E107">
        <f t="shared" si="1"/>
        <v>6312.5</v>
      </c>
    </row>
    <row r="108" spans="2:5" ht="12.75">
      <c r="B108">
        <v>35</v>
      </c>
      <c r="C108">
        <f t="shared" si="0"/>
        <v>5000</v>
      </c>
      <c r="D108" s="9">
        <f>($B$69-SUM($C$74:C107))*$B$70/4</f>
        <v>1125</v>
      </c>
      <c r="E108">
        <f t="shared" si="1"/>
        <v>6125</v>
      </c>
    </row>
    <row r="109" spans="2:5" ht="12.75">
      <c r="B109">
        <v>36</v>
      </c>
      <c r="C109">
        <f t="shared" si="0"/>
        <v>5000</v>
      </c>
      <c r="D109" s="9">
        <f>($B$69-SUM($C$74:C108))*$B$70/4</f>
        <v>937.5</v>
      </c>
      <c r="E109">
        <f t="shared" si="1"/>
        <v>5937.5</v>
      </c>
    </row>
    <row r="110" spans="2:5" ht="12.75">
      <c r="B110">
        <v>37</v>
      </c>
      <c r="C110">
        <f t="shared" si="0"/>
        <v>5000</v>
      </c>
      <c r="D110" s="9">
        <f>($B$69-SUM($C$74:C109))*$B$70/4</f>
        <v>750</v>
      </c>
      <c r="E110">
        <f>C110+D110</f>
        <v>5750</v>
      </c>
    </row>
    <row r="111" spans="2:5" ht="12.75">
      <c r="B111">
        <v>38</v>
      </c>
      <c r="C111">
        <f t="shared" si="0"/>
        <v>5000</v>
      </c>
      <c r="D111" s="9">
        <f>($B$69-SUM($C$74:C110))*$B$70/4</f>
        <v>562.5</v>
      </c>
      <c r="E111">
        <f>C111+D111</f>
        <v>5562.5</v>
      </c>
    </row>
    <row r="112" spans="2:5" ht="12.75">
      <c r="B112">
        <v>39</v>
      </c>
      <c r="C112">
        <f t="shared" si="0"/>
        <v>5000</v>
      </c>
      <c r="D112" s="9">
        <f>($B$69-SUM($C$74:C111))*$B$70/4</f>
        <v>375</v>
      </c>
      <c r="E112">
        <f>C112+D112</f>
        <v>5375</v>
      </c>
    </row>
    <row r="113" spans="2:5" ht="12.75">
      <c r="B113">
        <v>40</v>
      </c>
      <c r="C113">
        <f t="shared" si="0"/>
        <v>5000</v>
      </c>
      <c r="D113" s="9">
        <f>($B$69-SUM($C$74:C112))*$B$70/4</f>
        <v>187.5</v>
      </c>
      <c r="E113">
        <f>C113+D113</f>
        <v>5187.5</v>
      </c>
    </row>
    <row r="116" spans="1:5" ht="12.75">
      <c r="A116" s="3">
        <v>10</v>
      </c>
      <c r="B116" s="10" t="s">
        <v>20</v>
      </c>
      <c r="C116" t="s">
        <v>21</v>
      </c>
      <c r="D116">
        <v>204</v>
      </c>
      <c r="E116" t="s">
        <v>12</v>
      </c>
    </row>
    <row r="117" spans="2:3" ht="12.75">
      <c r="B117" s="1">
        <f>NPV(10%,-15000,5000,7500,8200)</f>
        <v>1731.4391093504507</v>
      </c>
      <c r="C117" s="1">
        <f>NPV(10%,5000,7500,8200)-15000</f>
        <v>1904.5830202854995</v>
      </c>
    </row>
    <row r="119" spans="1:5" ht="12.75">
      <c r="A119" s="3">
        <v>11</v>
      </c>
      <c r="B119" s="10" t="s">
        <v>22</v>
      </c>
      <c r="D119">
        <v>211</v>
      </c>
      <c r="E119" t="s">
        <v>12</v>
      </c>
    </row>
    <row r="120" ht="12.75">
      <c r="B120" s="5">
        <f>IRR(A121:A126)</f>
        <v>0.10634172752804864</v>
      </c>
    </row>
    <row r="121" ht="12.75">
      <c r="A121">
        <v>-120000</v>
      </c>
    </row>
    <row r="122" ht="12.75">
      <c r="A122">
        <v>25000</v>
      </c>
    </row>
    <row r="123" ht="12.75">
      <c r="A123">
        <v>27000</v>
      </c>
    </row>
    <row r="124" ht="12.75">
      <c r="A124">
        <v>35000</v>
      </c>
    </row>
    <row r="125" ht="12.75">
      <c r="A125">
        <v>38000</v>
      </c>
    </row>
    <row r="126" ht="12.75">
      <c r="A126">
        <v>40000</v>
      </c>
    </row>
    <row r="128" spans="1:5" ht="12.75">
      <c r="A128" s="3">
        <v>13</v>
      </c>
      <c r="B128" s="10" t="s">
        <v>23</v>
      </c>
      <c r="D128">
        <v>211</v>
      </c>
      <c r="E128" t="s">
        <v>12</v>
      </c>
    </row>
    <row r="129" ht="12.75">
      <c r="B129" s="5">
        <f>MIRR(A121:A126,10%,12%)</f>
        <v>0.11167258738197772</v>
      </c>
    </row>
    <row r="132" spans="1:2" ht="12.75">
      <c r="A132" s="3">
        <v>14</v>
      </c>
      <c r="B132" s="10" t="s">
        <v>29</v>
      </c>
    </row>
    <row r="133" spans="2:3" ht="12.75">
      <c r="B133">
        <f>NPER(11%/12,-1200,100000)</f>
        <v>158.18820422471128</v>
      </c>
      <c r="C133" t="s">
        <v>30</v>
      </c>
    </row>
    <row r="136" spans="1:6" ht="12.75">
      <c r="A136" s="3">
        <v>15</v>
      </c>
      <c r="B136" s="10" t="s">
        <v>24</v>
      </c>
      <c r="D136">
        <v>212</v>
      </c>
      <c r="E136" t="s">
        <v>12</v>
      </c>
      <c r="F136" t="s">
        <v>25</v>
      </c>
    </row>
    <row r="137" ht="12.75">
      <c r="B137" s="9">
        <f>SLN(8000,500,10)</f>
        <v>750</v>
      </c>
    </row>
    <row r="139" spans="1:6" ht="12.75">
      <c r="A139" s="3">
        <v>16</v>
      </c>
      <c r="B139" s="10" t="s">
        <v>26</v>
      </c>
      <c r="C139" s="10" t="s">
        <v>27</v>
      </c>
      <c r="D139" s="10" t="s">
        <v>28</v>
      </c>
      <c r="E139">
        <v>213</v>
      </c>
      <c r="F139" t="s">
        <v>12</v>
      </c>
    </row>
    <row r="140" spans="2:4" ht="12.75">
      <c r="B140" s="1">
        <f>DDB(5000,100,60,1)</f>
        <v>166.66666666666666</v>
      </c>
      <c r="C140" s="1">
        <f>DDB(5000,100,1,1)</f>
        <v>4900</v>
      </c>
      <c r="D140" s="1">
        <f>DDB(5000,100,5,5)</f>
        <v>259.2</v>
      </c>
    </row>
    <row r="142" spans="1:2" ht="12.75">
      <c r="A142" s="3">
        <v>17</v>
      </c>
      <c r="B142" s="10" t="s">
        <v>31</v>
      </c>
    </row>
    <row r="143" ht="12.75">
      <c r="B143" s="1">
        <f>SYD(15000,1250,3,1)</f>
        <v>6875</v>
      </c>
    </row>
    <row r="145" spans="1:2" ht="12.75">
      <c r="A145" s="3">
        <v>18</v>
      </c>
      <c r="B145" s="10" t="s">
        <v>32</v>
      </c>
    </row>
    <row r="146" spans="2:5" ht="12.75">
      <c r="B146" s="1">
        <f>SYD(15000,1250,3,3)</f>
        <v>2291.6666666666665</v>
      </c>
      <c r="D146" t="s">
        <v>33</v>
      </c>
      <c r="E146">
        <v>1000000</v>
      </c>
    </row>
    <row r="147" spans="4:5" ht="12.75">
      <c r="D147" t="s">
        <v>34</v>
      </c>
      <c r="E147" s="11">
        <v>34713</v>
      </c>
    </row>
    <row r="148" spans="4:6" ht="12.75">
      <c r="D148" t="s">
        <v>35</v>
      </c>
      <c r="E148" s="11">
        <f ca="1">TODAY()</f>
        <v>36097</v>
      </c>
      <c r="F148" s="12" t="s">
        <v>36</v>
      </c>
    </row>
    <row r="149" spans="4:5" ht="12.75">
      <c r="D149" t="s">
        <v>37</v>
      </c>
      <c r="E149" s="4">
        <v>0.13</v>
      </c>
    </row>
    <row r="150" spans="4:5" ht="12.75">
      <c r="D150" t="s">
        <v>38</v>
      </c>
      <c r="E150">
        <f>E149/360</f>
        <v>0.00036111111111111115</v>
      </c>
    </row>
    <row r="151" spans="4:6" ht="12.75">
      <c r="D151" t="s">
        <v>39</v>
      </c>
      <c r="E151">
        <f>DAYS360(E147,E148)</f>
        <v>1365</v>
      </c>
      <c r="F151" s="8" t="s">
        <v>40</v>
      </c>
    </row>
    <row r="153" spans="4:5" ht="12.75">
      <c r="D153" t="s">
        <v>41</v>
      </c>
      <c r="E153">
        <f>E151*E150%*E146</f>
        <v>4929.166666666667</v>
      </c>
    </row>
    <row r="154" spans="4:5" ht="12.75">
      <c r="D154" t="s">
        <v>42</v>
      </c>
      <c r="E154">
        <f>E146+E153</f>
        <v>1004929.1666666666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ESKONET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Kivi</dc:creator>
  <cp:keywords/>
  <dc:description/>
  <cp:lastModifiedBy>Kalle Kivi</cp:lastModifiedBy>
  <dcterms:created xsi:type="dcterms:W3CDTF">1998-06-11T08:18:29Z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