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1"/>
  </bookViews>
  <sheets>
    <sheet name="Round 1" sheetId="1" r:id="rId1"/>
    <sheet name="Round 2" sheetId="2" r:id="rId2"/>
    <sheet name="calculation" sheetId="3" r:id="rId3"/>
    <sheet name="text" sheetId="4" r:id="rId4"/>
  </sheets>
  <definedNames>
    <definedName name="_xlnm.Print_Area" localSheetId="2">'calculation'!$A$1:$BF$67</definedName>
    <definedName name="_xlnm.Print_Area" localSheetId="0">'Round 1'!$A$1:$O$63</definedName>
    <definedName name="_xlnm.Print_Area" localSheetId="1">'Round 2'!$A$1:$E$34</definedName>
  </definedNames>
  <calcPr fullCalcOnLoad="1"/>
</workbook>
</file>

<file path=xl/sharedStrings.xml><?xml version="1.0" encoding="utf-8"?>
<sst xmlns="http://schemas.openxmlformats.org/spreadsheetml/2006/main" count="295" uniqueCount="134">
  <si>
    <t>M</t>
  </si>
  <si>
    <t>Pts</t>
  </si>
  <si>
    <t>Goals</t>
  </si>
  <si>
    <t>Points</t>
  </si>
  <si>
    <t>sort teams</t>
  </si>
  <si>
    <t>:</t>
  </si>
  <si>
    <t>A</t>
  </si>
  <si>
    <t>B</t>
  </si>
  <si>
    <t>Goals forward</t>
  </si>
  <si>
    <t>Goal difference</t>
  </si>
  <si>
    <t>C</t>
  </si>
  <si>
    <t>D</t>
  </si>
  <si>
    <t>E</t>
  </si>
  <si>
    <t>F</t>
  </si>
  <si>
    <t>G</t>
  </si>
  <si>
    <t>H</t>
  </si>
  <si>
    <t>Abbreviation</t>
  </si>
  <si>
    <t>Full text</t>
  </si>
  <si>
    <t>rank</t>
  </si>
  <si>
    <t>Final rank</t>
  </si>
  <si>
    <t>Match results</t>
  </si>
  <si>
    <t>points against direct opp.</t>
  </si>
  <si>
    <t>two teams at 3rd rank</t>
  </si>
  <si>
    <t>drawing lots</t>
  </si>
  <si>
    <t>ranking clear</t>
  </si>
  <si>
    <t>Paraguay</t>
  </si>
  <si>
    <t>Portugal</t>
  </si>
  <si>
    <t>USA</t>
  </si>
  <si>
    <t>GROUP A</t>
  </si>
  <si>
    <t>GROUP B</t>
  </si>
  <si>
    <t>GROUP C</t>
  </si>
  <si>
    <t>GROUP D</t>
  </si>
  <si>
    <t>GROUP E</t>
  </si>
  <si>
    <t>GROUP F</t>
  </si>
  <si>
    <t>GROUP G</t>
  </si>
  <si>
    <t>GROUP H</t>
  </si>
  <si>
    <t>GER</t>
  </si>
  <si>
    <t>ENG</t>
  </si>
  <si>
    <t>PAR</t>
  </si>
  <si>
    <t>ARG</t>
  </si>
  <si>
    <t>MEX</t>
  </si>
  <si>
    <t>POR</t>
  </si>
  <si>
    <t>ITA</t>
  </si>
  <si>
    <t>GHA</t>
  </si>
  <si>
    <t>BRA</t>
  </si>
  <si>
    <t>AUS</t>
  </si>
  <si>
    <t>FRA</t>
  </si>
  <si>
    <t>KOR</t>
  </si>
  <si>
    <t>ESP</t>
  </si>
  <si>
    <t>Table in original group order</t>
  </si>
  <si>
    <t>Tie case 2 or 4</t>
  </si>
  <si>
    <t>Tie case 3</t>
  </si>
  <si>
    <t>Ranking in groups</t>
  </si>
  <si>
    <t>tie score</t>
  </si>
  <si>
    <t>combined score: 10000*Pts+100*GD+GF</t>
  </si>
  <si>
    <t>teams with equal score</t>
  </si>
  <si>
    <t>direct opp. with same score</t>
  </si>
  <si>
    <t>team not in tie</t>
  </si>
  <si>
    <t>against teams in tie</t>
  </si>
  <si>
    <t>total score</t>
  </si>
  <si>
    <t>clear or draw lots?</t>
  </si>
  <si>
    <t>matches complete?</t>
  </si>
  <si>
    <t>tie case</t>
  </si>
  <si>
    <t>2006 World Cup tracker</t>
  </si>
  <si>
    <t>Lots drawn due to tie. Enter team rank manually 1-4. Note: Team names will reorder correctly even if numbers appear off.</t>
  </si>
  <si>
    <t>LAV</t>
  </si>
  <si>
    <t>Lõuna Aafrika Vabariik</t>
  </si>
  <si>
    <t>Mehhiko</t>
  </si>
  <si>
    <t>Uruguai</t>
  </si>
  <si>
    <t>URU</t>
  </si>
  <si>
    <t>Prantsusmaa</t>
  </si>
  <si>
    <t>Lõuna Korea</t>
  </si>
  <si>
    <t>Kreeka</t>
  </si>
  <si>
    <t>GRE</t>
  </si>
  <si>
    <t>Nigeeria</t>
  </si>
  <si>
    <t>Argentiina</t>
  </si>
  <si>
    <t>Alžeeria</t>
  </si>
  <si>
    <t>ALG</t>
  </si>
  <si>
    <t>Sloveenia</t>
  </si>
  <si>
    <t>SLO</t>
  </si>
  <si>
    <t>Inglismaa</t>
  </si>
  <si>
    <t>Ameerika Ühendriigid</t>
  </si>
  <si>
    <t>Serbia</t>
  </si>
  <si>
    <t>Ghaana</t>
  </si>
  <si>
    <t>SRB</t>
  </si>
  <si>
    <t>Saksamaa</t>
  </si>
  <si>
    <t>Austraalia</t>
  </si>
  <si>
    <t>Holland</t>
  </si>
  <si>
    <t>Taani</t>
  </si>
  <si>
    <t>Jaapan</t>
  </si>
  <si>
    <t>Kamerun</t>
  </si>
  <si>
    <t>Itaalia</t>
  </si>
  <si>
    <t>Uus-Meremaa</t>
  </si>
  <si>
    <t>Slovakkia</t>
  </si>
  <si>
    <t>NZL</t>
  </si>
  <si>
    <t>Brasiilia</t>
  </si>
  <si>
    <t>Elevandiluurannik</t>
  </si>
  <si>
    <t>Põhja Korea</t>
  </si>
  <si>
    <t>KOR_p</t>
  </si>
  <si>
    <t>Elev</t>
  </si>
  <si>
    <t>Mäng</t>
  </si>
  <si>
    <t>Punktid</t>
  </si>
  <si>
    <t>Löödud värav</t>
  </si>
  <si>
    <t>Sisse värav</t>
  </si>
  <si>
    <t>Väravate vahe</t>
  </si>
  <si>
    <t>Väravaid</t>
  </si>
  <si>
    <t>Löödud</t>
  </si>
  <si>
    <t>Sisse</t>
  </si>
  <si>
    <t>Vahe</t>
  </si>
  <si>
    <t>Honduuras</t>
  </si>
  <si>
    <t>Tšiili</t>
  </si>
  <si>
    <t>Hispaania</t>
  </si>
  <si>
    <t>Šveits</t>
  </si>
  <si>
    <t>HON</t>
  </si>
  <si>
    <t>TŠI</t>
  </si>
  <si>
    <t>ŠVE</t>
  </si>
  <si>
    <t>Väravad</t>
  </si>
  <si>
    <t>Esimene Ring</t>
  </si>
  <si>
    <t>Teine Ring</t>
  </si>
  <si>
    <t>kaheksandik_finaal</t>
  </si>
  <si>
    <t>veerand_finaal</t>
  </si>
  <si>
    <t>Pool_finaal</t>
  </si>
  <si>
    <t>Kolmas koht</t>
  </si>
  <si>
    <t>Finaal</t>
  </si>
  <si>
    <t>Maailmameister</t>
  </si>
  <si>
    <t>Võitja</t>
  </si>
  <si>
    <t>Edasipääseja teisena</t>
  </si>
  <si>
    <t>Alagrupp</t>
  </si>
  <si>
    <t>Kuupäev</t>
  </si>
  <si>
    <t>NGA</t>
  </si>
  <si>
    <t>NED</t>
  </si>
  <si>
    <t>DEN</t>
  </si>
  <si>
    <t>JPN</t>
  </si>
  <si>
    <t>CMR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</si>
</sst>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m/d;@"/>
  </numFmts>
  <fonts count="46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b/>
      <sz val="14"/>
      <color indexed="9"/>
      <name val="Tahoma"/>
      <family val="2"/>
    </font>
    <font>
      <sz val="8"/>
      <color indexed="42"/>
      <name val="Tahoma"/>
      <family val="2"/>
    </font>
    <font>
      <sz val="14"/>
      <name val="Tahoma"/>
      <family val="2"/>
    </font>
    <font>
      <b/>
      <sz val="11"/>
      <color indexed="9"/>
      <name val="Tahoma"/>
      <family val="2"/>
    </font>
    <font>
      <sz val="8"/>
      <color indexed="10"/>
      <name val="Tahoma"/>
      <family val="2"/>
    </font>
    <font>
      <b/>
      <sz val="18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2"/>
      </bottom>
    </border>
    <border>
      <left style="thin">
        <color indexed="50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2" borderId="0" xfId="0" applyAlignment="1">
      <alignment/>
    </xf>
    <xf numFmtId="0" fontId="2" fillId="2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2" borderId="0" xfId="0" applyFont="1" applyAlignment="1">
      <alignment vertical="center"/>
    </xf>
    <xf numFmtId="0" fontId="8" fillId="2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Border="1" applyAlignment="1">
      <alignment vertical="center"/>
    </xf>
    <xf numFmtId="0" fontId="2" fillId="2" borderId="0" xfId="0" applyFont="1" applyBorder="1" applyAlignment="1">
      <alignment horizontal="right" vertical="center" indent="1"/>
    </xf>
    <xf numFmtId="0" fontId="2" fillId="2" borderId="0" xfId="0" applyFont="1" applyBorder="1" applyAlignment="1">
      <alignment horizontal="center" vertical="center"/>
    </xf>
    <xf numFmtId="0" fontId="2" fillId="2" borderId="0" xfId="0" applyFont="1" applyBorder="1" applyAlignment="1">
      <alignment horizontal="left" vertical="center" inden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6" borderId="11" xfId="0" applyFont="1" applyFill="1" applyBorder="1" applyAlignment="1" applyProtection="1">
      <alignment horizontal="center" vertical="center"/>
      <protection hidden="1" locked="0"/>
    </xf>
    <xf numFmtId="0" fontId="2" fillId="36" borderId="23" xfId="0" applyFont="1" applyFill="1" applyBorder="1" applyAlignment="1" applyProtection="1">
      <alignment horizontal="center" vertical="center"/>
      <protection hidden="1" locked="0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/>
    </xf>
    <xf numFmtId="0" fontId="2" fillId="2" borderId="26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4" xfId="0" applyFont="1" applyFill="1" applyBorder="1" applyAlignment="1">
      <alignment wrapText="1"/>
    </xf>
    <xf numFmtId="0" fontId="2" fillId="2" borderId="27" xfId="0" applyFont="1" applyFill="1" applyBorder="1" applyAlignment="1">
      <alignment/>
    </xf>
    <xf numFmtId="0" fontId="2" fillId="2" borderId="27" xfId="0" applyFont="1" applyFill="1" applyBorder="1" applyAlignment="1">
      <alignment horizontal="center"/>
    </xf>
    <xf numFmtId="0" fontId="2" fillId="2" borderId="27" xfId="0" applyFont="1" applyFill="1" applyBorder="1" applyAlignment="1">
      <alignment wrapText="1"/>
    </xf>
    <xf numFmtId="0" fontId="2" fillId="2" borderId="28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center" textRotation="90"/>
    </xf>
    <xf numFmtId="0" fontId="2" fillId="2" borderId="0" xfId="0" applyFont="1" applyFill="1" applyBorder="1" applyAlignment="1">
      <alignment horizontal="center" textRotation="90"/>
    </xf>
    <xf numFmtId="0" fontId="3" fillId="2" borderId="31" xfId="0" applyFont="1" applyFill="1" applyBorder="1" applyAlignment="1">
      <alignment horizontal="right"/>
    </xf>
    <xf numFmtId="0" fontId="2" fillId="2" borderId="32" xfId="0" applyFont="1" applyFill="1" applyBorder="1" applyAlignment="1">
      <alignment horizontal="center" textRotation="90"/>
    </xf>
    <xf numFmtId="0" fontId="2" fillId="2" borderId="33" xfId="0" applyFont="1" applyFill="1" applyBorder="1" applyAlignment="1">
      <alignment horizontal="center" textRotation="90"/>
    </xf>
    <xf numFmtId="0" fontId="2" fillId="2" borderId="34" xfId="0" applyFont="1" applyFill="1" applyBorder="1" applyAlignment="1">
      <alignment horizontal="center" textRotation="90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1" xfId="0" applyFont="1" applyFill="1" applyBorder="1" applyAlignment="1">
      <alignment/>
    </xf>
    <xf numFmtId="0" fontId="2" fillId="2" borderId="35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3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2" borderId="3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3" fillId="2" borderId="37" xfId="0" applyFont="1" applyFill="1" applyBorder="1" applyAlignment="1">
      <alignment horizontal="center"/>
    </xf>
    <xf numFmtId="0" fontId="2" fillId="2" borderId="37" xfId="0" applyFont="1" applyFill="1" applyBorder="1" applyAlignment="1">
      <alignment/>
    </xf>
    <xf numFmtId="175" fontId="2" fillId="2" borderId="37" xfId="0" applyNumberFormat="1" applyFont="1" applyFill="1" applyBorder="1" applyAlignment="1">
      <alignment/>
    </xf>
    <xf numFmtId="0" fontId="2" fillId="2" borderId="39" xfId="0" applyFont="1" applyFill="1" applyBorder="1" applyAlignment="1">
      <alignment horizontal="left"/>
    </xf>
    <xf numFmtId="0" fontId="2" fillId="2" borderId="35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2" fillId="2" borderId="39" xfId="0" applyFont="1" applyFill="1" applyBorder="1" applyAlignment="1">
      <alignment/>
    </xf>
    <xf numFmtId="0" fontId="3" fillId="2" borderId="39" xfId="0" applyFont="1" applyFill="1" applyBorder="1" applyAlignment="1">
      <alignment horizontal="center"/>
    </xf>
    <xf numFmtId="0" fontId="2" fillId="2" borderId="39" xfId="0" applyFont="1" applyFill="1" applyBorder="1" applyAlignment="1">
      <alignment/>
    </xf>
    <xf numFmtId="175" fontId="2" fillId="2" borderId="39" xfId="0" applyNumberFormat="1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41" xfId="0" applyFont="1" applyFill="1" applyBorder="1" applyAlignment="1">
      <alignment horizontal="left"/>
    </xf>
    <xf numFmtId="0" fontId="2" fillId="2" borderId="42" xfId="0" applyFont="1" applyFill="1" applyBorder="1" applyAlignment="1">
      <alignment/>
    </xf>
    <xf numFmtId="0" fontId="2" fillId="2" borderId="43" xfId="0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3" fillId="2" borderId="41" xfId="0" applyFont="1" applyFill="1" applyBorder="1" applyAlignment="1">
      <alignment horizontal="center"/>
    </xf>
    <xf numFmtId="0" fontId="2" fillId="2" borderId="41" xfId="0" applyFont="1" applyFill="1" applyBorder="1" applyAlignment="1">
      <alignment/>
    </xf>
    <xf numFmtId="175" fontId="2" fillId="2" borderId="41" xfId="0" applyNumberFormat="1" applyFont="1" applyFill="1" applyBorder="1" applyAlignment="1">
      <alignment/>
    </xf>
    <xf numFmtId="0" fontId="2" fillId="2" borderId="42" xfId="0" applyFont="1" applyFill="1" applyBorder="1" applyAlignment="1">
      <alignment horizontal="right"/>
    </xf>
    <xf numFmtId="0" fontId="2" fillId="2" borderId="43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right"/>
    </xf>
    <xf numFmtId="0" fontId="2" fillId="2" borderId="34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10" fillId="2" borderId="2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179" fontId="11" fillId="37" borderId="0" xfId="0" applyNumberFormat="1" applyFont="1" applyFill="1" applyBorder="1" applyAlignment="1">
      <alignment horizontal="center" vertical="center"/>
    </xf>
    <xf numFmtId="179" fontId="11" fillId="37" borderId="46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center"/>
    </xf>
    <xf numFmtId="179" fontId="5" fillId="37" borderId="0" xfId="0" applyNumberFormat="1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50" xfId="0" applyFont="1" applyFill="1" applyBorder="1" applyAlignment="1">
      <alignment horizontal="center" vertical="center"/>
    </xf>
    <xf numFmtId="0" fontId="8" fillId="36" borderId="51" xfId="0" applyFont="1" applyFill="1" applyBorder="1" applyAlignment="1" applyProtection="1">
      <alignment horizontal="center" vertical="center"/>
      <protection hidden="1"/>
    </xf>
    <xf numFmtId="0" fontId="8" fillId="36" borderId="0" xfId="0" applyFont="1" applyFill="1" applyBorder="1" applyAlignment="1" applyProtection="1">
      <alignment horizontal="center" vertical="center"/>
      <protection hidden="1"/>
    </xf>
    <xf numFmtId="179" fontId="9" fillId="37" borderId="5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indexed="6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FF"/>
      <rgbColor rgb="00FFFF99"/>
      <rgbColor rgb="0099CCFF"/>
      <rgbColor rgb="00FF99CC"/>
      <rgbColor rgb="00CC99FF"/>
      <rgbColor rgb="00FFCC99"/>
      <rgbColor rgb="003366FF"/>
      <rgbColor rgb="0033CCCC"/>
      <rgbColor rgb="00647E42"/>
      <rgbColor rgb="00FFCC00"/>
      <rgbColor rgb="008FAF6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E64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18.7109375" style="4" customWidth="1"/>
    <col min="2" max="2" width="1.57421875" style="4" bestFit="1" customWidth="1"/>
    <col min="3" max="3" width="18.7109375" style="4" customWidth="1"/>
    <col min="4" max="4" width="3.57421875" style="4" customWidth="1"/>
    <col min="5" max="5" width="1.57421875" style="11" bestFit="1" customWidth="1"/>
    <col min="6" max="6" width="3.57421875" style="4" customWidth="1"/>
    <col min="7" max="8" width="2.28125" style="4" customWidth="1"/>
    <col min="9" max="9" width="18.7109375" style="4" customWidth="1"/>
    <col min="10" max="11" width="4.7109375" style="5" bestFit="1" customWidth="1"/>
    <col min="12" max="12" width="4.7109375" style="6" bestFit="1" customWidth="1"/>
    <col min="13" max="13" width="1.57421875" style="5" customWidth="1"/>
    <col min="14" max="14" width="4.7109375" style="7" bestFit="1" customWidth="1"/>
    <col min="15" max="15" width="4.7109375" style="5" bestFit="1" customWidth="1"/>
    <col min="16" max="16" width="11.421875" style="4" customWidth="1"/>
    <col min="17" max="17" width="18.7109375" style="4" customWidth="1"/>
    <col min="18" max="18" width="1.57421875" style="4" bestFit="1" customWidth="1"/>
    <col min="19" max="19" width="18.7109375" style="4" customWidth="1"/>
    <col min="20" max="20" width="3.57421875" style="4" customWidth="1"/>
    <col min="21" max="21" width="1.57421875" style="11" bestFit="1" customWidth="1"/>
    <col min="22" max="22" width="3.57421875" style="4" customWidth="1"/>
    <col min="23" max="24" width="2.28125" style="4" customWidth="1"/>
    <col min="25" max="25" width="18.7109375" style="4" customWidth="1"/>
    <col min="26" max="27" width="4.7109375" style="5" bestFit="1" customWidth="1"/>
    <col min="28" max="28" width="4.7109375" style="6" bestFit="1" customWidth="1"/>
    <col min="29" max="29" width="1.57421875" style="5" customWidth="1"/>
    <col min="30" max="30" width="4.7109375" style="7" bestFit="1" customWidth="1"/>
    <col min="31" max="31" width="4.7109375" style="5" bestFit="1" customWidth="1"/>
    <col min="32" max="16384" width="11.421875" style="4" customWidth="1"/>
  </cols>
  <sheetData>
    <row r="1" spans="1:31" s="12" customFormat="1" ht="18" customHeight="1">
      <c r="A1" s="111" t="str">
        <f>I2</f>
        <v>A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  <c r="Q1" s="111" t="str">
        <f>Y2</f>
        <v>E</v>
      </c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2"/>
    </row>
    <row r="2" spans="1:31" s="12" customFormat="1" ht="12" customHeight="1">
      <c r="A2" s="13" t="str">
        <f>text!B3</f>
        <v>Lõuna Aafrika Vabariik</v>
      </c>
      <c r="B2" s="12" t="s">
        <v>5</v>
      </c>
      <c r="C2" s="12" t="str">
        <f>text!B4</f>
        <v>Mehhiko</v>
      </c>
      <c r="D2" s="41">
        <v>1</v>
      </c>
      <c r="E2" s="14" t="s">
        <v>5</v>
      </c>
      <c r="F2" s="41">
        <v>1</v>
      </c>
      <c r="H2" s="15" t="b">
        <f>(calculation!AD10=text!B$73)</f>
        <v>0</v>
      </c>
      <c r="I2" s="26" t="str">
        <f>text!A2</f>
        <v>A</v>
      </c>
      <c r="J2" s="27" t="str">
        <f>text!A$64</f>
        <v>M</v>
      </c>
      <c r="K2" s="27" t="str">
        <f>text!A$65</f>
        <v>Pts</v>
      </c>
      <c r="L2" s="115" t="str">
        <f>text!A$69</f>
        <v>Väravad</v>
      </c>
      <c r="M2" s="115"/>
      <c r="N2" s="115"/>
      <c r="O2" s="27" t="str">
        <f>text!A$68</f>
        <v>Vahe</v>
      </c>
      <c r="Q2" s="13" t="str">
        <f>text!B35</f>
        <v>Holland</v>
      </c>
      <c r="R2" s="12" t="s">
        <v>5</v>
      </c>
      <c r="S2" s="12" t="str">
        <f>text!B36</f>
        <v>Taani</v>
      </c>
      <c r="T2" s="41">
        <v>2</v>
      </c>
      <c r="U2" s="14" t="s">
        <v>5</v>
      </c>
      <c r="V2" s="41">
        <v>0</v>
      </c>
      <c r="X2" s="15" t="b">
        <f>(calculation!AD42=text!B$73)</f>
        <v>0</v>
      </c>
      <c r="Y2" s="26" t="str">
        <f>text!A34</f>
        <v>E</v>
      </c>
      <c r="Z2" s="27" t="str">
        <f>text!A$64</f>
        <v>M</v>
      </c>
      <c r="AA2" s="27" t="str">
        <f>text!A$65</f>
        <v>Pts</v>
      </c>
      <c r="AB2" s="27" t="str">
        <f>text!A$69</f>
        <v>Väravad</v>
      </c>
      <c r="AC2" s="27"/>
      <c r="AD2" s="27"/>
      <c r="AE2" s="27" t="str">
        <f>text!A$68</f>
        <v>Vahe</v>
      </c>
    </row>
    <row r="3" spans="1:31" s="12" customFormat="1" ht="12" customHeight="1">
      <c r="A3" s="13" t="str">
        <f>text!B5</f>
        <v>Uruguai</v>
      </c>
      <c r="B3" s="12" t="s">
        <v>5</v>
      </c>
      <c r="C3" s="12" t="str">
        <f>text!B6</f>
        <v>Prantsusmaa</v>
      </c>
      <c r="D3" s="42">
        <v>0</v>
      </c>
      <c r="E3" s="14" t="s">
        <v>5</v>
      </c>
      <c r="F3" s="42">
        <v>0</v>
      </c>
      <c r="G3" s="15">
        <f>IF(H2,H3,1)</f>
        <v>1</v>
      </c>
      <c r="H3" s="106">
        <v>1</v>
      </c>
      <c r="I3" s="28" t="str">
        <f>INDEX(calculation!V6:AA9,MATCH(G3,calculation!AD6:AD9,0),1)</f>
        <v>Uruguai</v>
      </c>
      <c r="J3" s="29">
        <f>INDEX(calculation!V6:AA9,MATCH(G3,calculation!AD6:AD9,0),2)</f>
        <v>3</v>
      </c>
      <c r="K3" s="29">
        <f>INDEX(calculation!V6:AA9,MATCH(G3,calculation!AD6:AD9,0),3)</f>
        <v>7</v>
      </c>
      <c r="L3" s="32">
        <f>INDEX(calculation!V6:AA9,MATCH(G3,calculation!AD6:AD9,0),4)</f>
        <v>4</v>
      </c>
      <c r="M3" s="38" t="s">
        <v>5</v>
      </c>
      <c r="N3" s="35">
        <f>INDEX(calculation!V6:AA9,MATCH(G3,calculation!AD6:AD9,0),5)</f>
        <v>0</v>
      </c>
      <c r="O3" s="29">
        <f>INDEX(calculation!V6:AA9,MATCH(G3,calculation!AD6:AD9,0),6)</f>
        <v>4</v>
      </c>
      <c r="Q3" s="13" t="str">
        <f>text!B37</f>
        <v>Jaapan</v>
      </c>
      <c r="R3" s="12" t="s">
        <v>5</v>
      </c>
      <c r="S3" s="12" t="str">
        <f>text!B38</f>
        <v>Kamerun</v>
      </c>
      <c r="T3" s="42">
        <v>1</v>
      </c>
      <c r="U3" s="14" t="s">
        <v>5</v>
      </c>
      <c r="V3" s="42">
        <v>0</v>
      </c>
      <c r="W3" s="15">
        <f>IF(X2,X3,1)</f>
        <v>1</v>
      </c>
      <c r="X3" s="106">
        <v>1</v>
      </c>
      <c r="Y3" s="28" t="str">
        <f>INDEX(calculation!V38:AA41,MATCH(W3,calculation!AD38:AD41,0),1)</f>
        <v>Holland</v>
      </c>
      <c r="Z3" s="29">
        <f>INDEX(calculation!V38:AA41,MATCH(W3,calculation!AD38:AD41,0),2)</f>
        <v>3</v>
      </c>
      <c r="AA3" s="29">
        <f>INDEX(calculation!V38:AA41,MATCH(W3,calculation!AD38:AD41,0),3)</f>
        <v>9</v>
      </c>
      <c r="AB3" s="32">
        <f>INDEX(calculation!V38:AA41,MATCH(W3,calculation!AD38:AD41,0),4)</f>
        <v>5</v>
      </c>
      <c r="AC3" s="38" t="s">
        <v>5</v>
      </c>
      <c r="AD3" s="35">
        <f>INDEX(calculation!V38:AA41,MATCH(W3,calculation!AD38:AD41,0),5)</f>
        <v>1</v>
      </c>
      <c r="AE3" s="29">
        <f>INDEX(calculation!V38:AA41,MATCH(W3,calculation!AD38:AD41,0),6)</f>
        <v>4</v>
      </c>
    </row>
    <row r="4" spans="1:31" s="12" customFormat="1" ht="12" customHeight="1">
      <c r="A4" s="13" t="str">
        <f>text!B3</f>
        <v>Lõuna Aafrika Vabariik</v>
      </c>
      <c r="B4" s="12" t="s">
        <v>5</v>
      </c>
      <c r="C4" s="12" t="str">
        <f>text!B5</f>
        <v>Uruguai</v>
      </c>
      <c r="D4" s="42">
        <v>0</v>
      </c>
      <c r="E4" s="14" t="s">
        <v>5</v>
      </c>
      <c r="F4" s="42">
        <v>3</v>
      </c>
      <c r="G4" s="15">
        <f>IF(H2,H4,2)</f>
        <v>2</v>
      </c>
      <c r="H4" s="107">
        <v>2</v>
      </c>
      <c r="I4" s="30" t="str">
        <f>INDEX(calculation!V6:AA9,MATCH(G4,calculation!AD6:AD9,0),1)</f>
        <v>Mehhiko</v>
      </c>
      <c r="J4" s="31">
        <f>INDEX(calculation!V6:AA9,MATCH(G4,calculation!AD6:AD9,0),2)</f>
        <v>3</v>
      </c>
      <c r="K4" s="31">
        <f>INDEX(calculation!V6:AA9,MATCH(G4,calculation!AD6:AD9,0),3)</f>
        <v>4</v>
      </c>
      <c r="L4" s="33">
        <f>INDEX(calculation!V6:AA9,MATCH(G4,calculation!AD6:AD9,0),4)</f>
        <v>3</v>
      </c>
      <c r="M4" s="14" t="s">
        <v>5</v>
      </c>
      <c r="N4" s="36">
        <f>INDEX(calculation!V6:AA9,MATCH(G4,calculation!AD6:AD9,0),5)</f>
        <v>2</v>
      </c>
      <c r="O4" s="31">
        <f>INDEX(calculation!V6:AA9,MATCH(G4,calculation!AD6:AD9,0),6)</f>
        <v>1</v>
      </c>
      <c r="Q4" s="13" t="str">
        <f>text!B35</f>
        <v>Holland</v>
      </c>
      <c r="R4" s="12" t="s">
        <v>5</v>
      </c>
      <c r="S4" s="12" t="str">
        <f>text!B37</f>
        <v>Jaapan</v>
      </c>
      <c r="T4" s="42">
        <v>1</v>
      </c>
      <c r="U4" s="14" t="s">
        <v>5</v>
      </c>
      <c r="V4" s="42">
        <v>0</v>
      </c>
      <c r="W4" s="15">
        <f>IF(X2,X4,2)</f>
        <v>2</v>
      </c>
      <c r="X4" s="107">
        <v>2</v>
      </c>
      <c r="Y4" s="30" t="str">
        <f>INDEX(calculation!V38:AA41,MATCH(W4,calculation!AD38:AD41,0),1)</f>
        <v>Jaapan</v>
      </c>
      <c r="Z4" s="31">
        <f>INDEX(calculation!V38:AA41,MATCH(W4,calculation!AD38:AD41,0),2)</f>
        <v>3</v>
      </c>
      <c r="AA4" s="31">
        <f>INDEX(calculation!V38:AA41,MATCH(W4,calculation!AD38:AD41,0),3)</f>
        <v>6</v>
      </c>
      <c r="AB4" s="33">
        <f>INDEX(calculation!V38:AA41,MATCH(W4,calculation!AD38:AD41,0),4)</f>
        <v>3</v>
      </c>
      <c r="AC4" s="14" t="s">
        <v>5</v>
      </c>
      <c r="AD4" s="36">
        <f>INDEX(calculation!V38:AA41,MATCH(W4,calculation!AD38:AD41,0),5)</f>
        <v>1</v>
      </c>
      <c r="AE4" s="31">
        <f>INDEX(calculation!V38:AA41,MATCH(W4,calculation!AD38:AD41,0),6)</f>
        <v>2</v>
      </c>
    </row>
    <row r="5" spans="1:31" s="12" customFormat="1" ht="12" customHeight="1">
      <c r="A5" s="13" t="str">
        <f>text!B6</f>
        <v>Prantsusmaa</v>
      </c>
      <c r="B5" s="12" t="s">
        <v>5</v>
      </c>
      <c r="C5" s="12" t="str">
        <f>text!B4</f>
        <v>Mehhiko</v>
      </c>
      <c r="D5" s="42">
        <v>0</v>
      </c>
      <c r="E5" s="14" t="s">
        <v>5</v>
      </c>
      <c r="F5" s="42">
        <v>2</v>
      </c>
      <c r="G5" s="15">
        <f>IF(H2,H5,3)</f>
        <v>3</v>
      </c>
      <c r="H5" s="107">
        <v>3</v>
      </c>
      <c r="I5" s="30" t="str">
        <f>INDEX(calculation!V6:AA9,MATCH(G5,calculation!AD6:AD9,0),1)</f>
        <v>Lõuna Aafrika Vabariik</v>
      </c>
      <c r="J5" s="31">
        <f>INDEX(calculation!V6:AA9,MATCH(G5,calculation!AD6:AD9,0),2)</f>
        <v>3</v>
      </c>
      <c r="K5" s="31">
        <f>INDEX(calculation!V6:AA9,MATCH(G5,calculation!AD6:AD9,0),3)</f>
        <v>4</v>
      </c>
      <c r="L5" s="33">
        <f>INDEX(calculation!V6:AA9,MATCH(G5,calculation!AD6:AD9,0),4)</f>
        <v>3</v>
      </c>
      <c r="M5" s="14" t="s">
        <v>5</v>
      </c>
      <c r="N5" s="36">
        <f>INDEX(calculation!V6:AA9,MATCH(G5,calculation!AD6:AD9,0),5)</f>
        <v>5</v>
      </c>
      <c r="O5" s="31">
        <f>INDEX(calculation!V6:AA9,MATCH(G5,calculation!AD6:AD9,0),6)</f>
        <v>-2</v>
      </c>
      <c r="Q5" s="13" t="str">
        <f>text!B38</f>
        <v>Kamerun</v>
      </c>
      <c r="R5" s="12" t="s">
        <v>5</v>
      </c>
      <c r="S5" s="12" t="str">
        <f>text!B36</f>
        <v>Taani</v>
      </c>
      <c r="T5" s="42">
        <v>1</v>
      </c>
      <c r="U5" s="14" t="s">
        <v>5</v>
      </c>
      <c r="V5" s="42">
        <v>2</v>
      </c>
      <c r="W5" s="15">
        <f>IF(X2,X5,3)</f>
        <v>3</v>
      </c>
      <c r="X5" s="107">
        <v>3</v>
      </c>
      <c r="Y5" s="30" t="str">
        <f>INDEX(calculation!V38:AA41,MATCH(W5,calculation!AD38:AD41,0),1)</f>
        <v>Taani</v>
      </c>
      <c r="Z5" s="31">
        <f>INDEX(calculation!V38:AA41,MATCH(W5,calculation!AD38:AD41,0),2)</f>
        <v>3</v>
      </c>
      <c r="AA5" s="31">
        <f>INDEX(calculation!V38:AA41,MATCH(W5,calculation!AD38:AD41,0),3)</f>
        <v>3</v>
      </c>
      <c r="AB5" s="33">
        <f>INDEX(calculation!V38:AA41,MATCH(W5,calculation!AD38:AD41,0),4)</f>
        <v>2</v>
      </c>
      <c r="AC5" s="14" t="s">
        <v>5</v>
      </c>
      <c r="AD5" s="36">
        <f>INDEX(calculation!V38:AA41,MATCH(W5,calculation!AD38:AD41,0),5)</f>
        <v>5</v>
      </c>
      <c r="AE5" s="31">
        <f>INDEX(calculation!V38:AA41,MATCH(W5,calculation!AD38:AD41,0),6)</f>
        <v>-3</v>
      </c>
    </row>
    <row r="6" spans="1:31" s="12" customFormat="1" ht="12" customHeight="1">
      <c r="A6" s="13" t="str">
        <f>text!B6</f>
        <v>Prantsusmaa</v>
      </c>
      <c r="B6" s="12" t="s">
        <v>5</v>
      </c>
      <c r="C6" s="12" t="str">
        <f>text!B3</f>
        <v>Lõuna Aafrika Vabariik</v>
      </c>
      <c r="D6" s="42">
        <v>1</v>
      </c>
      <c r="E6" s="14" t="s">
        <v>5</v>
      </c>
      <c r="F6" s="42">
        <v>2</v>
      </c>
      <c r="G6" s="15">
        <f>IF(H2,H6,4)</f>
        <v>4</v>
      </c>
      <c r="H6" s="108">
        <v>4</v>
      </c>
      <c r="I6" s="26" t="str">
        <f>INDEX(calculation!V6:AA9,MATCH(G6,calculation!AD6:AD9,0),1)</f>
        <v>Prantsusmaa</v>
      </c>
      <c r="J6" s="27">
        <f>INDEX(calculation!V6:AA9,MATCH(G6,calculation!AD6:AD9,0),2)</f>
        <v>3</v>
      </c>
      <c r="K6" s="27">
        <f>INDEX(calculation!V6:AA9,MATCH(G6,calculation!AD6:AD9,0),3)</f>
        <v>1</v>
      </c>
      <c r="L6" s="34">
        <f>INDEX(calculation!V6:AA9,MATCH(G6,calculation!AD6:AD9,0),4)</f>
        <v>1</v>
      </c>
      <c r="M6" s="25" t="s">
        <v>5</v>
      </c>
      <c r="N6" s="37">
        <f>INDEX(calculation!V6:AA9,MATCH(G6,calculation!AD6:AD9,0),5)</f>
        <v>4</v>
      </c>
      <c r="O6" s="27">
        <f>INDEX(calculation!V6:AA9,MATCH(G6,calculation!AD6:AD9,0),6)</f>
        <v>-3</v>
      </c>
      <c r="Q6" s="13" t="str">
        <f>text!B38</f>
        <v>Kamerun</v>
      </c>
      <c r="R6" s="12" t="s">
        <v>5</v>
      </c>
      <c r="S6" s="12" t="str">
        <f>text!B35</f>
        <v>Holland</v>
      </c>
      <c r="T6" s="42">
        <v>1</v>
      </c>
      <c r="U6" s="14" t="s">
        <v>5</v>
      </c>
      <c r="V6" s="42">
        <v>2</v>
      </c>
      <c r="W6" s="15">
        <f>IF(X2,X6,4)</f>
        <v>4</v>
      </c>
      <c r="X6" s="108">
        <v>4</v>
      </c>
      <c r="Y6" s="26" t="str">
        <f>INDEX(calculation!V38:AA41,MATCH(W6,calculation!AD38:AD41,0),1)</f>
        <v>Kamerun</v>
      </c>
      <c r="Z6" s="27">
        <f>INDEX(calculation!V38:AA41,MATCH(W6,calculation!AD38:AD41,0),2)</f>
        <v>3</v>
      </c>
      <c r="AA6" s="27">
        <f>INDEX(calculation!V38:AA41,MATCH(W6,calculation!AD38:AD41,0),3)</f>
        <v>0</v>
      </c>
      <c r="AB6" s="34">
        <f>INDEX(calculation!V38:AA41,MATCH(W6,calculation!AD38:AD41,0),4)</f>
        <v>2</v>
      </c>
      <c r="AC6" s="25" t="s">
        <v>5</v>
      </c>
      <c r="AD6" s="37">
        <f>INDEX(calculation!V38:AA41,MATCH(W6,calculation!AD38:AD41,0),5)</f>
        <v>5</v>
      </c>
      <c r="AE6" s="27">
        <f>INDEX(calculation!V38:AA41,MATCH(W6,calculation!AD38:AD41,0),6)</f>
        <v>-3</v>
      </c>
    </row>
    <row r="7" spans="1:31" s="12" customFormat="1" ht="12" customHeight="1">
      <c r="A7" s="13" t="str">
        <f>text!B4</f>
        <v>Mehhiko</v>
      </c>
      <c r="B7" s="12" t="s">
        <v>5</v>
      </c>
      <c r="C7" s="12" t="str">
        <f>text!B5</f>
        <v>Uruguai</v>
      </c>
      <c r="D7" s="42">
        <v>0</v>
      </c>
      <c r="E7" s="14" t="s">
        <v>5</v>
      </c>
      <c r="F7" s="42">
        <v>1</v>
      </c>
      <c r="H7" s="113">
        <f>IF(H2,text!B$74,"")</f>
      </c>
      <c r="I7" s="113"/>
      <c r="J7" s="113"/>
      <c r="K7" s="113"/>
      <c r="L7" s="113"/>
      <c r="M7" s="113"/>
      <c r="N7" s="113"/>
      <c r="O7" s="113"/>
      <c r="Q7" s="13" t="str">
        <f>text!B36</f>
        <v>Taani</v>
      </c>
      <c r="R7" s="12" t="s">
        <v>5</v>
      </c>
      <c r="S7" s="12" t="str">
        <f>text!B37</f>
        <v>Jaapan</v>
      </c>
      <c r="T7" s="42">
        <v>0</v>
      </c>
      <c r="U7" s="14" t="s">
        <v>5</v>
      </c>
      <c r="V7" s="42">
        <v>2</v>
      </c>
      <c r="X7" s="109">
        <f>IF(X2,text!B$74,"")</f>
      </c>
      <c r="Y7" s="109"/>
      <c r="Z7" s="109"/>
      <c r="AA7" s="109"/>
      <c r="AB7" s="109"/>
      <c r="AC7" s="109"/>
      <c r="AD7" s="109"/>
      <c r="AE7" s="109"/>
    </row>
    <row r="8" spans="1:31" s="12" customFormat="1" ht="12" customHeight="1">
      <c r="A8" s="13"/>
      <c r="E8" s="14"/>
      <c r="H8" s="114"/>
      <c r="I8" s="114"/>
      <c r="J8" s="114"/>
      <c r="K8" s="114"/>
      <c r="L8" s="114"/>
      <c r="M8" s="114"/>
      <c r="N8" s="114"/>
      <c r="O8" s="114"/>
      <c r="Q8" s="13"/>
      <c r="U8" s="14"/>
      <c r="X8" s="110"/>
      <c r="Y8" s="110"/>
      <c r="Z8" s="110"/>
      <c r="AA8" s="110"/>
      <c r="AB8" s="110"/>
      <c r="AC8" s="110"/>
      <c r="AD8" s="110"/>
      <c r="AE8" s="110"/>
    </row>
    <row r="9" spans="1:31" s="12" customFormat="1" ht="18" customHeight="1">
      <c r="A9" s="111" t="str">
        <f>I10</f>
        <v>B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/>
      <c r="Q9" s="111" t="str">
        <f>Y10</f>
        <v>F</v>
      </c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2"/>
    </row>
    <row r="10" spans="1:31" s="12" customFormat="1" ht="12" customHeight="1">
      <c r="A10" s="13" t="str">
        <f>text!B11</f>
        <v>Lõuna Korea</v>
      </c>
      <c r="B10" s="12" t="s">
        <v>5</v>
      </c>
      <c r="C10" s="12" t="str">
        <f>text!B12</f>
        <v>Kreeka</v>
      </c>
      <c r="D10" s="41">
        <v>2</v>
      </c>
      <c r="E10" s="14" t="s">
        <v>5</v>
      </c>
      <c r="F10" s="41">
        <v>0</v>
      </c>
      <c r="H10" s="15" t="b">
        <f>(calculation!AD18=text!B$73)</f>
        <v>0</v>
      </c>
      <c r="I10" s="26" t="str">
        <f>text!A10</f>
        <v>B</v>
      </c>
      <c r="J10" s="27" t="str">
        <f>text!A$64</f>
        <v>M</v>
      </c>
      <c r="K10" s="27" t="str">
        <f>text!A$65</f>
        <v>Pts</v>
      </c>
      <c r="L10" s="115" t="str">
        <f>text!A$69</f>
        <v>Väravad</v>
      </c>
      <c r="M10" s="115"/>
      <c r="N10" s="115"/>
      <c r="O10" s="27" t="str">
        <f>text!A$68</f>
        <v>Vahe</v>
      </c>
      <c r="Q10" s="13" t="str">
        <f>text!B43</f>
        <v>Itaalia</v>
      </c>
      <c r="R10" s="12" t="s">
        <v>5</v>
      </c>
      <c r="S10" s="12" t="str">
        <f>text!B44</f>
        <v>Paraguay</v>
      </c>
      <c r="T10" s="41">
        <v>1</v>
      </c>
      <c r="U10" s="14" t="s">
        <v>5</v>
      </c>
      <c r="V10" s="41">
        <v>1</v>
      </c>
      <c r="X10" s="15" t="b">
        <f>(calculation!AD50=text!B$73)</f>
        <v>0</v>
      </c>
      <c r="Y10" s="26" t="str">
        <f>text!A42</f>
        <v>F</v>
      </c>
      <c r="Z10" s="27" t="str">
        <f>text!A$64</f>
        <v>M</v>
      </c>
      <c r="AA10" s="27" t="str">
        <f>text!A$65</f>
        <v>Pts</v>
      </c>
      <c r="AB10" s="27" t="str">
        <f>text!A$69</f>
        <v>Väravad</v>
      </c>
      <c r="AC10" s="27"/>
      <c r="AD10" s="27"/>
      <c r="AE10" s="27" t="str">
        <f>text!A$68</f>
        <v>Vahe</v>
      </c>
    </row>
    <row r="11" spans="1:31" s="12" customFormat="1" ht="12" customHeight="1">
      <c r="A11" s="13" t="str">
        <f>text!B13</f>
        <v>Nigeeria</v>
      </c>
      <c r="B11" s="12" t="s">
        <v>5</v>
      </c>
      <c r="C11" s="12" t="str">
        <f>text!B14</f>
        <v>Argentiina</v>
      </c>
      <c r="D11" s="42">
        <v>0</v>
      </c>
      <c r="E11" s="14" t="s">
        <v>5</v>
      </c>
      <c r="F11" s="42">
        <v>1</v>
      </c>
      <c r="G11" s="15">
        <f>IF(H10,H11,1)</f>
        <v>1</v>
      </c>
      <c r="H11" s="106">
        <v>1</v>
      </c>
      <c r="I11" s="28" t="str">
        <f>INDEX(calculation!V14:AA17,MATCH(G11,calculation!AD14:AD17,0),1)</f>
        <v>Argentiina</v>
      </c>
      <c r="J11" s="29">
        <f>INDEX(calculation!V14:AA17,MATCH(G11,calculation!AD14:AD17,0),2)</f>
        <v>3</v>
      </c>
      <c r="K11" s="29">
        <f>INDEX(calculation!V14:AA17,MATCH(G11,calculation!AD14:AD17,0),3)</f>
        <v>9</v>
      </c>
      <c r="L11" s="32">
        <f>INDEX(calculation!V14:AA17,MATCH(G11,calculation!AD14:AD17,0),4)</f>
        <v>7</v>
      </c>
      <c r="M11" s="38" t="s">
        <v>5</v>
      </c>
      <c r="N11" s="35">
        <f>INDEX(calculation!V14:AA17,MATCH(G11,calculation!AD14:AD17,0),5)</f>
        <v>2</v>
      </c>
      <c r="O11" s="29">
        <f>INDEX(calculation!V14:AA17,MATCH(G11,calculation!AD14:AD17,0),6)</f>
        <v>5</v>
      </c>
      <c r="Q11" s="13" t="str">
        <f>text!B45</f>
        <v>Uus-Meremaa</v>
      </c>
      <c r="R11" s="12" t="s">
        <v>5</v>
      </c>
      <c r="S11" s="12" t="str">
        <f>text!B46</f>
        <v>Slovakkia</v>
      </c>
      <c r="T11" s="42">
        <v>1</v>
      </c>
      <c r="U11" s="14" t="s">
        <v>5</v>
      </c>
      <c r="V11" s="42">
        <v>1</v>
      </c>
      <c r="W11" s="15">
        <f>IF(X10,X11,1)</f>
        <v>1</v>
      </c>
      <c r="X11" s="106">
        <v>1</v>
      </c>
      <c r="Y11" s="28" t="str">
        <f>INDEX(calculation!V46:AA49,MATCH(W11,calculation!AD46:AD49,0),1)</f>
        <v>Paraguay</v>
      </c>
      <c r="Z11" s="29">
        <f>INDEX(calculation!V46:AA49,MATCH(W11,calculation!AD46:AD49,0),2)</f>
        <v>3</v>
      </c>
      <c r="AA11" s="29">
        <f>INDEX(calculation!V46:AA49,MATCH(W11,calculation!AD46:AD49,0),3)</f>
        <v>5</v>
      </c>
      <c r="AB11" s="32">
        <f>INDEX(calculation!V46:AA49,MATCH(W11,calculation!AD46:AD49,0),4)</f>
        <v>3</v>
      </c>
      <c r="AC11" s="38" t="s">
        <v>5</v>
      </c>
      <c r="AD11" s="35">
        <f>INDEX(calculation!V46:AA49,MATCH(W11,calculation!AD46:AD49,0),5)</f>
        <v>1</v>
      </c>
      <c r="AE11" s="29">
        <f>INDEX(calculation!V46:AA49,MATCH(W11,calculation!AD46:AD49,0),6)</f>
        <v>2</v>
      </c>
    </row>
    <row r="12" spans="1:31" s="12" customFormat="1" ht="12" customHeight="1">
      <c r="A12" s="13" t="str">
        <f>text!B11</f>
        <v>Lõuna Korea</v>
      </c>
      <c r="B12" s="12" t="s">
        <v>5</v>
      </c>
      <c r="C12" s="12" t="str">
        <f>text!B13</f>
        <v>Nigeeria</v>
      </c>
      <c r="D12" s="42">
        <v>2</v>
      </c>
      <c r="E12" s="14" t="s">
        <v>5</v>
      </c>
      <c r="F12" s="42">
        <v>2</v>
      </c>
      <c r="G12" s="15">
        <f>IF(H10,H12,2)</f>
        <v>2</v>
      </c>
      <c r="H12" s="107">
        <v>2</v>
      </c>
      <c r="I12" s="30" t="str">
        <f>INDEX(calculation!V14:AA17,MATCH(G12,calculation!AD14:AD17,0),1)</f>
        <v>Lõuna Korea</v>
      </c>
      <c r="J12" s="31">
        <f>INDEX(calculation!V14:AA17,MATCH(G12,calculation!AD14:AD17,0),2)</f>
        <v>3</v>
      </c>
      <c r="K12" s="31">
        <f>INDEX(calculation!V14:AA17,MATCH(G12,calculation!AD14:AD17,0),3)</f>
        <v>4</v>
      </c>
      <c r="L12" s="33">
        <f>INDEX(calculation!V14:AA17,MATCH(G12,calculation!AD14:AD17,0),4)</f>
        <v>5</v>
      </c>
      <c r="M12" s="14" t="s">
        <v>5</v>
      </c>
      <c r="N12" s="36">
        <f>INDEX(calculation!V14:AA17,MATCH(G12,calculation!AD14:AD17,0),5)</f>
        <v>6</v>
      </c>
      <c r="O12" s="31">
        <f>INDEX(calculation!V14:AA17,MATCH(G12,calculation!AD14:AD17,0),6)</f>
        <v>-1</v>
      </c>
      <c r="Q12" s="13" t="str">
        <f>text!B43</f>
        <v>Itaalia</v>
      </c>
      <c r="R12" s="12" t="s">
        <v>5</v>
      </c>
      <c r="S12" s="12" t="str">
        <f>text!B45</f>
        <v>Uus-Meremaa</v>
      </c>
      <c r="T12" s="42">
        <v>1</v>
      </c>
      <c r="U12" s="14" t="s">
        <v>5</v>
      </c>
      <c r="V12" s="42">
        <v>1</v>
      </c>
      <c r="W12" s="15">
        <f>IF(X10,X12,2)</f>
        <v>2</v>
      </c>
      <c r="X12" s="107">
        <v>2</v>
      </c>
      <c r="Y12" s="30" t="str">
        <f>INDEX(calculation!V46:AA49,MATCH(W12,calculation!AD46:AD49,0),1)</f>
        <v>Slovakkia</v>
      </c>
      <c r="Z12" s="31">
        <f>INDEX(calculation!V46:AA49,MATCH(W12,calculation!AD46:AD49,0),2)</f>
        <v>3</v>
      </c>
      <c r="AA12" s="31">
        <f>INDEX(calculation!V46:AA49,MATCH(W12,calculation!AD46:AD49,0),3)</f>
        <v>4</v>
      </c>
      <c r="AB12" s="33">
        <f>INDEX(calculation!V46:AA49,MATCH(W12,calculation!AD46:AD49,0),4)</f>
        <v>4</v>
      </c>
      <c r="AC12" s="14" t="s">
        <v>5</v>
      </c>
      <c r="AD12" s="36">
        <f>INDEX(calculation!V46:AA49,MATCH(W12,calculation!AD46:AD49,0),5)</f>
        <v>5</v>
      </c>
      <c r="AE12" s="31">
        <f>INDEX(calculation!V46:AA49,MATCH(W12,calculation!AD46:AD49,0),6)</f>
        <v>-1</v>
      </c>
    </row>
    <row r="13" spans="1:31" s="12" customFormat="1" ht="12" customHeight="1">
      <c r="A13" s="13" t="str">
        <f>text!B14</f>
        <v>Argentiina</v>
      </c>
      <c r="B13" s="12" t="s">
        <v>5</v>
      </c>
      <c r="C13" s="12" t="str">
        <f>text!B12</f>
        <v>Kreeka</v>
      </c>
      <c r="D13" s="42">
        <v>2</v>
      </c>
      <c r="E13" s="14" t="s">
        <v>5</v>
      </c>
      <c r="F13" s="42">
        <v>1</v>
      </c>
      <c r="G13" s="15">
        <f>IF(H10,H13,3)</f>
        <v>3</v>
      </c>
      <c r="H13" s="107">
        <v>3</v>
      </c>
      <c r="I13" s="30" t="str">
        <f>INDEX(calculation!V14:AA17,MATCH(G13,calculation!AD14:AD17,0),1)</f>
        <v>Kreeka</v>
      </c>
      <c r="J13" s="31">
        <f>INDEX(calculation!V14:AA17,MATCH(G13,calculation!AD14:AD17,0),2)</f>
        <v>3</v>
      </c>
      <c r="K13" s="31">
        <f>INDEX(calculation!V14:AA17,MATCH(G13,calculation!AD14:AD17,0),3)</f>
        <v>3</v>
      </c>
      <c r="L13" s="33">
        <f>INDEX(calculation!V14:AA17,MATCH(G13,calculation!AD14:AD17,0),4)</f>
        <v>3</v>
      </c>
      <c r="M13" s="14" t="s">
        <v>5</v>
      </c>
      <c r="N13" s="36">
        <f>INDEX(calculation!V14:AA17,MATCH(G13,calculation!AD14:AD17,0),5)</f>
        <v>5</v>
      </c>
      <c r="O13" s="31">
        <f>INDEX(calculation!V14:AA17,MATCH(G13,calculation!AD14:AD17,0),6)</f>
        <v>-2</v>
      </c>
      <c r="Q13" s="13" t="str">
        <f>text!B46</f>
        <v>Slovakkia</v>
      </c>
      <c r="R13" s="12" t="s">
        <v>5</v>
      </c>
      <c r="S13" s="12" t="str">
        <f>text!B44</f>
        <v>Paraguay</v>
      </c>
      <c r="T13" s="42">
        <v>0</v>
      </c>
      <c r="U13" s="14" t="s">
        <v>5</v>
      </c>
      <c r="V13" s="42">
        <v>2</v>
      </c>
      <c r="W13" s="15">
        <f>IF(X10,X13,3)</f>
        <v>3</v>
      </c>
      <c r="X13" s="107">
        <v>3</v>
      </c>
      <c r="Y13" s="30" t="str">
        <f>INDEX(calculation!V46:AA49,MATCH(W13,calculation!AD46:AD49,0),1)</f>
        <v>Uus-Meremaa</v>
      </c>
      <c r="Z13" s="31">
        <f>INDEX(calculation!V46:AA49,MATCH(W13,calculation!AD46:AD49,0),2)</f>
        <v>3</v>
      </c>
      <c r="AA13" s="31">
        <f>INDEX(calculation!V46:AA49,MATCH(W13,calculation!AD46:AD49,0),3)</f>
        <v>3</v>
      </c>
      <c r="AB13" s="33">
        <f>INDEX(calculation!V46:AA49,MATCH(W13,calculation!AD46:AD49,0),4)</f>
        <v>2</v>
      </c>
      <c r="AC13" s="14" t="s">
        <v>5</v>
      </c>
      <c r="AD13" s="36">
        <f>INDEX(calculation!V46:AA49,MATCH(W13,calculation!AD46:AD49,0),5)</f>
        <v>2</v>
      </c>
      <c r="AE13" s="31">
        <f>INDEX(calculation!V46:AA49,MATCH(W13,calculation!AD46:AD49,0),6)</f>
        <v>0</v>
      </c>
    </row>
    <row r="14" spans="1:31" s="12" customFormat="1" ht="12" customHeight="1">
      <c r="A14" s="13" t="str">
        <f>text!B14</f>
        <v>Argentiina</v>
      </c>
      <c r="B14" s="12" t="s">
        <v>5</v>
      </c>
      <c r="C14" s="12" t="str">
        <f>text!B11</f>
        <v>Lõuna Korea</v>
      </c>
      <c r="D14" s="42">
        <v>4</v>
      </c>
      <c r="E14" s="14" t="s">
        <v>5</v>
      </c>
      <c r="F14" s="42">
        <v>1</v>
      </c>
      <c r="G14" s="15">
        <f>IF(H10,H14,4)</f>
        <v>4</v>
      </c>
      <c r="H14" s="108">
        <v>4</v>
      </c>
      <c r="I14" s="26" t="str">
        <f>INDEX(calculation!V14:AA17,MATCH(G14,calculation!AD14:AD17,0),1)</f>
        <v>Nigeeria</v>
      </c>
      <c r="J14" s="27">
        <f>INDEX(calculation!V14:AA17,MATCH(G14,calculation!AD14:AD17,0),2)</f>
        <v>3</v>
      </c>
      <c r="K14" s="27">
        <f>INDEX(calculation!V14:AA17,MATCH(G14,calculation!AD14:AD17,0),3)</f>
        <v>1</v>
      </c>
      <c r="L14" s="34">
        <f>INDEX(calculation!V14:AA17,MATCH(G14,calculation!AD14:AD17,0),4)</f>
        <v>3</v>
      </c>
      <c r="M14" s="25" t="s">
        <v>5</v>
      </c>
      <c r="N14" s="37">
        <f>INDEX(calculation!V14:AA17,MATCH(G14,calculation!AD14:AD17,0),5)</f>
        <v>5</v>
      </c>
      <c r="O14" s="27">
        <f>INDEX(calculation!V14:AA17,MATCH(G14,calculation!AD14:AD17,0),6)</f>
        <v>-2</v>
      </c>
      <c r="Q14" s="13" t="str">
        <f>text!B46</f>
        <v>Slovakkia</v>
      </c>
      <c r="R14" s="12" t="s">
        <v>5</v>
      </c>
      <c r="S14" s="12" t="str">
        <f>text!B43</f>
        <v>Itaalia</v>
      </c>
      <c r="T14" s="42">
        <v>3</v>
      </c>
      <c r="U14" s="14" t="s">
        <v>5</v>
      </c>
      <c r="V14" s="42">
        <v>2</v>
      </c>
      <c r="W14" s="15">
        <f>IF(X10,X14,4)</f>
        <v>4</v>
      </c>
      <c r="X14" s="108">
        <v>4</v>
      </c>
      <c r="Y14" s="26" t="str">
        <f>INDEX(calculation!V46:AA49,MATCH(W14,calculation!AD46:AD49,0),1)</f>
        <v>Itaalia</v>
      </c>
      <c r="Z14" s="27">
        <f>INDEX(calculation!V46:AA49,MATCH(W14,calculation!AD46:AD49,0),2)</f>
        <v>3</v>
      </c>
      <c r="AA14" s="27">
        <f>INDEX(calculation!V46:AA49,MATCH(W14,calculation!AD46:AD49,0),3)</f>
        <v>2</v>
      </c>
      <c r="AB14" s="34">
        <f>INDEX(calculation!V46:AA49,MATCH(W14,calculation!AD46:AD49,0),4)</f>
        <v>4</v>
      </c>
      <c r="AC14" s="25" t="s">
        <v>5</v>
      </c>
      <c r="AD14" s="37">
        <f>INDEX(calculation!V46:AA49,MATCH(W14,calculation!AD46:AD49,0),5)</f>
        <v>5</v>
      </c>
      <c r="AE14" s="27">
        <f>INDEX(calculation!V46:AA49,MATCH(W14,calculation!AD46:AD49,0),6)</f>
        <v>-1</v>
      </c>
    </row>
    <row r="15" spans="1:31" s="12" customFormat="1" ht="12" customHeight="1">
      <c r="A15" s="13" t="str">
        <f>text!B12</f>
        <v>Kreeka</v>
      </c>
      <c r="B15" s="12" t="s">
        <v>5</v>
      </c>
      <c r="C15" s="12" t="str">
        <f>text!B13</f>
        <v>Nigeeria</v>
      </c>
      <c r="D15" s="42">
        <v>2</v>
      </c>
      <c r="E15" s="14" t="s">
        <v>5</v>
      </c>
      <c r="F15" s="42">
        <v>1</v>
      </c>
      <c r="H15" s="113">
        <f>IF(H10,text!B$74,"")</f>
      </c>
      <c r="I15" s="113"/>
      <c r="J15" s="113"/>
      <c r="K15" s="113"/>
      <c r="L15" s="113"/>
      <c r="M15" s="113"/>
      <c r="N15" s="113"/>
      <c r="O15" s="113"/>
      <c r="Q15" s="13" t="str">
        <f>text!B44</f>
        <v>Paraguay</v>
      </c>
      <c r="R15" s="12" t="s">
        <v>5</v>
      </c>
      <c r="S15" s="12" t="str">
        <f>text!B45</f>
        <v>Uus-Meremaa</v>
      </c>
      <c r="T15" s="42">
        <v>0</v>
      </c>
      <c r="U15" s="14" t="s">
        <v>5</v>
      </c>
      <c r="V15" s="42">
        <v>0</v>
      </c>
      <c r="X15" s="109">
        <f>IF(X10,text!B$74,"")</f>
      </c>
      <c r="Y15" s="109"/>
      <c r="Z15" s="109"/>
      <c r="AA15" s="109"/>
      <c r="AB15" s="109"/>
      <c r="AC15" s="109"/>
      <c r="AD15" s="109"/>
      <c r="AE15" s="109"/>
    </row>
    <row r="16" spans="1:31" s="12" customFormat="1" ht="12" customHeight="1">
      <c r="A16" s="13"/>
      <c r="E16" s="14"/>
      <c r="H16" s="114"/>
      <c r="I16" s="114"/>
      <c r="J16" s="114"/>
      <c r="K16" s="114"/>
      <c r="L16" s="114"/>
      <c r="M16" s="114"/>
      <c r="N16" s="114"/>
      <c r="O16" s="114"/>
      <c r="Q16" s="13"/>
      <c r="U16" s="14"/>
      <c r="X16" s="110"/>
      <c r="Y16" s="110"/>
      <c r="Z16" s="110"/>
      <c r="AA16" s="110"/>
      <c r="AB16" s="110"/>
      <c r="AC16" s="110"/>
      <c r="AD16" s="110"/>
      <c r="AE16" s="110"/>
    </row>
    <row r="17" spans="1:31" s="12" customFormat="1" ht="18" customHeight="1">
      <c r="A17" s="111" t="str">
        <f>I18</f>
        <v>C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2"/>
      <c r="Q17" s="111" t="str">
        <f>Y18</f>
        <v>G</v>
      </c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2"/>
    </row>
    <row r="18" spans="1:31" s="12" customFormat="1" ht="12" customHeight="1">
      <c r="A18" s="13" t="str">
        <f>text!B19</f>
        <v>Inglismaa</v>
      </c>
      <c r="B18" s="12" t="s">
        <v>5</v>
      </c>
      <c r="C18" s="12" t="str">
        <f>text!B20</f>
        <v>Ameerika Ühendriigid</v>
      </c>
      <c r="D18" s="41">
        <v>1</v>
      </c>
      <c r="E18" s="14" t="s">
        <v>5</v>
      </c>
      <c r="F18" s="41">
        <v>1</v>
      </c>
      <c r="H18" s="15" t="b">
        <f>(calculation!AD26=text!B$73)</f>
        <v>0</v>
      </c>
      <c r="I18" s="26" t="str">
        <f>text!A18</f>
        <v>C</v>
      </c>
      <c r="J18" s="27" t="str">
        <f>text!A$64</f>
        <v>M</v>
      </c>
      <c r="K18" s="27" t="str">
        <f>text!A$65</f>
        <v>Pts</v>
      </c>
      <c r="L18" s="115" t="str">
        <f>text!A$69</f>
        <v>Väravad</v>
      </c>
      <c r="M18" s="115"/>
      <c r="N18" s="115"/>
      <c r="O18" s="27" t="str">
        <f>text!A$68</f>
        <v>Vahe</v>
      </c>
      <c r="Q18" s="13" t="str">
        <f>text!B51</f>
        <v>Elevandiluurannik</v>
      </c>
      <c r="R18" s="12" t="s">
        <v>5</v>
      </c>
      <c r="S18" s="12" t="str">
        <f>text!B52</f>
        <v>Portugal</v>
      </c>
      <c r="T18" s="41">
        <v>0</v>
      </c>
      <c r="U18" s="14" t="s">
        <v>5</v>
      </c>
      <c r="V18" s="41">
        <v>0</v>
      </c>
      <c r="X18" s="15" t="b">
        <f>(calculation!AD58=text!B$73)</f>
        <v>0</v>
      </c>
      <c r="Y18" s="26" t="str">
        <f>text!A50</f>
        <v>G</v>
      </c>
      <c r="Z18" s="27" t="str">
        <f>text!A$64</f>
        <v>M</v>
      </c>
      <c r="AA18" s="27" t="str">
        <f>text!A$65</f>
        <v>Pts</v>
      </c>
      <c r="AB18" s="27" t="str">
        <f>text!A$69</f>
        <v>Väravad</v>
      </c>
      <c r="AC18" s="27"/>
      <c r="AD18" s="27"/>
      <c r="AE18" s="27" t="str">
        <f>text!A$68</f>
        <v>Vahe</v>
      </c>
    </row>
    <row r="19" spans="1:31" s="12" customFormat="1" ht="12" customHeight="1">
      <c r="A19" s="13" t="str">
        <f>text!B21</f>
        <v>Alžeeria</v>
      </c>
      <c r="B19" s="12" t="s">
        <v>5</v>
      </c>
      <c r="C19" s="12" t="str">
        <f>text!B22</f>
        <v>Sloveenia</v>
      </c>
      <c r="D19" s="42">
        <v>0</v>
      </c>
      <c r="E19" s="14" t="s">
        <v>5</v>
      </c>
      <c r="F19" s="42">
        <v>1</v>
      </c>
      <c r="G19" s="15">
        <f>IF(H18,H19,1)</f>
        <v>1</v>
      </c>
      <c r="H19" s="106">
        <v>1</v>
      </c>
      <c r="I19" s="28" t="str">
        <f>INDEX(calculation!V22:AA25,MATCH(G19,calculation!AD22:AD25,0),1)</f>
        <v>Ameerika Ühendriigid</v>
      </c>
      <c r="J19" s="29">
        <f>INDEX(calculation!V22:AA25,MATCH(G19,calculation!AD22:AD25,0),2)</f>
        <v>3</v>
      </c>
      <c r="K19" s="29">
        <f>INDEX(calculation!V22:AA25,MATCH(G19,calculation!AD22:AD25,0),3)</f>
        <v>5</v>
      </c>
      <c r="L19" s="32">
        <f>INDEX(calculation!V22:AA25,MATCH(G19,calculation!AD22:AD25,0),4)</f>
        <v>4</v>
      </c>
      <c r="M19" s="38" t="s">
        <v>5</v>
      </c>
      <c r="N19" s="35">
        <f>INDEX(calculation!V22:AA25,MATCH(G19,calculation!AD22:AD25,0),5)</f>
        <v>3</v>
      </c>
      <c r="O19" s="29">
        <f>INDEX(calculation!V22:AA25,MATCH(G19,calculation!AD22:AD25,0),6)</f>
        <v>1</v>
      </c>
      <c r="Q19" s="13" t="str">
        <f>text!B53</f>
        <v>Brasiilia</v>
      </c>
      <c r="R19" s="12" t="s">
        <v>5</v>
      </c>
      <c r="S19" s="12" t="str">
        <f>text!B54</f>
        <v>Põhja Korea</v>
      </c>
      <c r="T19" s="41">
        <v>2</v>
      </c>
      <c r="U19" s="14" t="s">
        <v>5</v>
      </c>
      <c r="V19" s="42">
        <v>1</v>
      </c>
      <c r="W19" s="15">
        <f>IF(X18,X19,1)</f>
        <v>1</v>
      </c>
      <c r="X19" s="106">
        <v>1</v>
      </c>
      <c r="Y19" s="28" t="str">
        <f>INDEX(calculation!V54:AA57,MATCH(W19,calculation!AD54:AD57,0),1)</f>
        <v>Brasiilia</v>
      </c>
      <c r="Z19" s="29">
        <f>INDEX(calculation!V54:AA57,MATCH(W19,calculation!AD54:AD57,0),2)</f>
        <v>3</v>
      </c>
      <c r="AA19" s="29">
        <f>INDEX(calculation!V54:AA57,MATCH(W19,calculation!AD54:AD57,0),3)</f>
        <v>7</v>
      </c>
      <c r="AB19" s="32">
        <f>INDEX(calculation!V54:AA57,MATCH(W19,calculation!AD54:AD57,0),4)</f>
        <v>5</v>
      </c>
      <c r="AC19" s="38" t="s">
        <v>5</v>
      </c>
      <c r="AD19" s="35">
        <f>INDEX(calculation!V54:AA57,MATCH(W19,calculation!AD54:AD57,0),5)</f>
        <v>2</v>
      </c>
      <c r="AE19" s="29">
        <f>INDEX(calculation!V54:AA57,MATCH(W19,calculation!AD54:AD57,0),6)</f>
        <v>3</v>
      </c>
    </row>
    <row r="20" spans="1:31" s="12" customFormat="1" ht="12" customHeight="1">
      <c r="A20" s="13" t="str">
        <f>text!B19</f>
        <v>Inglismaa</v>
      </c>
      <c r="B20" s="12" t="s">
        <v>5</v>
      </c>
      <c r="C20" s="12" t="str">
        <f>text!B21</f>
        <v>Alžeeria</v>
      </c>
      <c r="D20" s="42">
        <v>0</v>
      </c>
      <c r="E20" s="14" t="s">
        <v>5</v>
      </c>
      <c r="F20" s="42">
        <v>0</v>
      </c>
      <c r="G20" s="15">
        <f>IF(H18,H20,2)</f>
        <v>2</v>
      </c>
      <c r="H20" s="107">
        <v>2</v>
      </c>
      <c r="I20" s="30" t="str">
        <f>INDEX(calculation!V22:AA25,MATCH(G20,calculation!AD22:AD25,0),1)</f>
        <v>Inglismaa</v>
      </c>
      <c r="J20" s="31">
        <f>INDEX(calculation!V22:AA25,MATCH(G20,calculation!AD22:AD25,0),2)</f>
        <v>3</v>
      </c>
      <c r="K20" s="31">
        <f>INDEX(calculation!V22:AA25,MATCH(G20,calculation!AD22:AD25,0),3)</f>
        <v>5</v>
      </c>
      <c r="L20" s="33">
        <f>INDEX(calculation!V22:AA25,MATCH(G20,calculation!AD22:AD25,0),4)</f>
        <v>2</v>
      </c>
      <c r="M20" s="14" t="s">
        <v>5</v>
      </c>
      <c r="N20" s="36">
        <f>INDEX(calculation!V22:AA25,MATCH(G20,calculation!AD22:AD25,0),5)</f>
        <v>1</v>
      </c>
      <c r="O20" s="31">
        <f>INDEX(calculation!V22:AA25,MATCH(G20,calculation!AD22:AD25,0),6)</f>
        <v>1</v>
      </c>
      <c r="Q20" s="13" t="str">
        <f>text!B51</f>
        <v>Elevandiluurannik</v>
      </c>
      <c r="R20" s="12" t="s">
        <v>5</v>
      </c>
      <c r="S20" s="12" t="str">
        <f>text!B53</f>
        <v>Brasiilia</v>
      </c>
      <c r="T20" s="42">
        <v>1</v>
      </c>
      <c r="U20" s="14" t="s">
        <v>5</v>
      </c>
      <c r="V20" s="42">
        <v>3</v>
      </c>
      <c r="W20" s="15">
        <f>IF(X18,X20,2)</f>
        <v>2</v>
      </c>
      <c r="X20" s="107">
        <v>2</v>
      </c>
      <c r="Y20" s="30" t="str">
        <f>INDEX(calculation!V54:AA57,MATCH(W20,calculation!AD54:AD57,0),1)</f>
        <v>Portugal</v>
      </c>
      <c r="Z20" s="31">
        <f>INDEX(calculation!V54:AA57,MATCH(W20,calculation!AD54:AD57,0),2)</f>
        <v>3</v>
      </c>
      <c r="AA20" s="31">
        <f>INDEX(calculation!V54:AA57,MATCH(W20,calculation!AD54:AD57,0),3)</f>
        <v>5</v>
      </c>
      <c r="AB20" s="33">
        <f>INDEX(calculation!V54:AA57,MATCH(W20,calculation!AD54:AD57,0),4)</f>
        <v>7</v>
      </c>
      <c r="AC20" s="14" t="s">
        <v>5</v>
      </c>
      <c r="AD20" s="36">
        <f>INDEX(calculation!V54:AA57,MATCH(W20,calculation!AD54:AD57,0),5)</f>
        <v>0</v>
      </c>
      <c r="AE20" s="31">
        <f>INDEX(calculation!V54:AA57,MATCH(W20,calculation!AD54:AD57,0),6)</f>
        <v>7</v>
      </c>
    </row>
    <row r="21" spans="1:31" s="12" customFormat="1" ht="12" customHeight="1">
      <c r="A21" s="13" t="str">
        <f>text!B22</f>
        <v>Sloveenia</v>
      </c>
      <c r="B21" s="12" t="s">
        <v>5</v>
      </c>
      <c r="C21" s="12" t="str">
        <f>text!B20</f>
        <v>Ameerika Ühendriigid</v>
      </c>
      <c r="D21" s="42">
        <v>2</v>
      </c>
      <c r="E21" s="14" t="s">
        <v>5</v>
      </c>
      <c r="F21" s="42">
        <v>2</v>
      </c>
      <c r="G21" s="15">
        <f>IF(H18,H21,3)</f>
        <v>3</v>
      </c>
      <c r="H21" s="107">
        <v>3</v>
      </c>
      <c r="I21" s="30" t="str">
        <f>INDEX(calculation!V22:AA25,MATCH(G21,calculation!AD22:AD25,0),1)</f>
        <v>Sloveenia</v>
      </c>
      <c r="J21" s="31">
        <f>INDEX(calculation!V22:AA25,MATCH(G21,calculation!AD22:AD25,0),2)</f>
        <v>3</v>
      </c>
      <c r="K21" s="31">
        <f>INDEX(calculation!V22:AA25,MATCH(G21,calculation!AD22:AD25,0),3)</f>
        <v>4</v>
      </c>
      <c r="L21" s="33">
        <f>INDEX(calculation!V22:AA25,MATCH(G21,calculation!AD22:AD25,0),4)</f>
        <v>3</v>
      </c>
      <c r="M21" s="14" t="s">
        <v>5</v>
      </c>
      <c r="N21" s="36">
        <f>INDEX(calculation!V22:AA25,MATCH(G21,calculation!AD22:AD25,0),5)</f>
        <v>3</v>
      </c>
      <c r="O21" s="31">
        <f>INDEX(calculation!V22:AA25,MATCH(G21,calculation!AD22:AD25,0),6)</f>
        <v>0</v>
      </c>
      <c r="Q21" s="13" t="str">
        <f>text!B54</f>
        <v>Põhja Korea</v>
      </c>
      <c r="R21" s="12" t="s">
        <v>5</v>
      </c>
      <c r="S21" s="12" t="str">
        <f>text!B52</f>
        <v>Portugal</v>
      </c>
      <c r="T21" s="42">
        <v>0</v>
      </c>
      <c r="U21" s="14" t="s">
        <v>5</v>
      </c>
      <c r="V21" s="42">
        <v>7</v>
      </c>
      <c r="W21" s="15">
        <f>IF(X18,X21,3)</f>
        <v>3</v>
      </c>
      <c r="X21" s="107">
        <v>3</v>
      </c>
      <c r="Y21" s="30" t="str">
        <f>INDEX(calculation!V54:AA57,MATCH(W21,calculation!AD54:AD57,0),1)</f>
        <v>Elevandiluurannik</v>
      </c>
      <c r="Z21" s="31">
        <f>INDEX(calculation!V54:AA57,MATCH(W21,calculation!AD54:AD57,0),2)</f>
        <v>3</v>
      </c>
      <c r="AA21" s="31">
        <f>INDEX(calculation!V54:AA57,MATCH(W21,calculation!AD54:AD57,0),3)</f>
        <v>4</v>
      </c>
      <c r="AB21" s="33">
        <f>INDEX(calculation!V54:AA57,MATCH(W21,calculation!AD54:AD57,0),4)</f>
        <v>4</v>
      </c>
      <c r="AC21" s="14" t="s">
        <v>5</v>
      </c>
      <c r="AD21" s="36">
        <f>INDEX(calculation!V54:AA57,MATCH(W21,calculation!AD54:AD57,0),5)</f>
        <v>3</v>
      </c>
      <c r="AE21" s="31">
        <f>INDEX(calculation!V54:AA57,MATCH(W21,calculation!AD54:AD57,0),6)</f>
        <v>1</v>
      </c>
    </row>
    <row r="22" spans="1:31" s="12" customFormat="1" ht="12" customHeight="1">
      <c r="A22" s="13" t="str">
        <f>text!B22</f>
        <v>Sloveenia</v>
      </c>
      <c r="B22" s="12" t="s">
        <v>5</v>
      </c>
      <c r="C22" s="12" t="str">
        <f>text!B19</f>
        <v>Inglismaa</v>
      </c>
      <c r="D22" s="42">
        <v>0</v>
      </c>
      <c r="E22" s="14" t="s">
        <v>5</v>
      </c>
      <c r="F22" s="42">
        <v>1</v>
      </c>
      <c r="G22" s="15">
        <f>IF(H18,H22,4)</f>
        <v>4</v>
      </c>
      <c r="H22" s="108">
        <v>4</v>
      </c>
      <c r="I22" s="26" t="str">
        <f>INDEX(calculation!V22:AA25,MATCH(G22,calculation!AD22:AD25,0),1)</f>
        <v>Alžeeria</v>
      </c>
      <c r="J22" s="27">
        <f>INDEX(calculation!V22:AA25,MATCH(G22,calculation!AD22:AD25,0),2)</f>
        <v>3</v>
      </c>
      <c r="K22" s="27">
        <f>INDEX(calculation!V22:AA25,MATCH(G22,calculation!AD22:AD25,0),3)</f>
        <v>1</v>
      </c>
      <c r="L22" s="34">
        <f>INDEX(calculation!V22:AA25,MATCH(G22,calculation!AD22:AD25,0),4)</f>
        <v>0</v>
      </c>
      <c r="M22" s="25" t="s">
        <v>5</v>
      </c>
      <c r="N22" s="37">
        <f>INDEX(calculation!V22:AA25,MATCH(G22,calculation!AD22:AD25,0),5)</f>
        <v>2</v>
      </c>
      <c r="O22" s="27">
        <f>INDEX(calculation!V22:AA25,MATCH(G22,calculation!AD22:AD25,0),6)</f>
        <v>-2</v>
      </c>
      <c r="Q22" s="13" t="str">
        <f>text!B54</f>
        <v>Põhja Korea</v>
      </c>
      <c r="R22" s="12" t="s">
        <v>5</v>
      </c>
      <c r="S22" s="12" t="str">
        <f>text!B51</f>
        <v>Elevandiluurannik</v>
      </c>
      <c r="T22" s="42">
        <v>0</v>
      </c>
      <c r="U22" s="14" t="s">
        <v>5</v>
      </c>
      <c r="V22" s="42">
        <v>3</v>
      </c>
      <c r="W22" s="15">
        <f>IF(X18,X22,4)</f>
        <v>4</v>
      </c>
      <c r="X22" s="108">
        <v>4</v>
      </c>
      <c r="Y22" s="26" t="str">
        <f>INDEX(calculation!V54:AA57,MATCH(W22,calculation!AD54:AD57,0),1)</f>
        <v>Põhja Korea</v>
      </c>
      <c r="Z22" s="27">
        <f>INDEX(calculation!V54:AA57,MATCH(W22,calculation!AD54:AD57,0),2)</f>
        <v>3</v>
      </c>
      <c r="AA22" s="27">
        <f>INDEX(calculation!V54:AA57,MATCH(W22,calculation!AD54:AD57,0),3)</f>
        <v>0</v>
      </c>
      <c r="AB22" s="34">
        <f>INDEX(calculation!V54:AA57,MATCH(W22,calculation!AD54:AD57,0),4)</f>
        <v>1</v>
      </c>
      <c r="AC22" s="25" t="s">
        <v>5</v>
      </c>
      <c r="AD22" s="37">
        <f>INDEX(calculation!V54:AA57,MATCH(W22,calculation!AD54:AD57,0),5)</f>
        <v>12</v>
      </c>
      <c r="AE22" s="27">
        <f>INDEX(calculation!V54:AA57,MATCH(W22,calculation!AD54:AD57,0),6)</f>
        <v>-11</v>
      </c>
    </row>
    <row r="23" spans="1:31" s="12" customFormat="1" ht="12" customHeight="1">
      <c r="A23" s="13" t="str">
        <f>text!B20</f>
        <v>Ameerika Ühendriigid</v>
      </c>
      <c r="B23" s="12" t="s">
        <v>5</v>
      </c>
      <c r="C23" s="12" t="str">
        <f>text!B21</f>
        <v>Alžeeria</v>
      </c>
      <c r="D23" s="42">
        <v>1</v>
      </c>
      <c r="E23" s="14" t="s">
        <v>5</v>
      </c>
      <c r="F23" s="42">
        <v>0</v>
      </c>
      <c r="H23" s="113">
        <f>IF(H18,text!B$74,"")</f>
      </c>
      <c r="I23" s="113"/>
      <c r="J23" s="113"/>
      <c r="K23" s="113"/>
      <c r="L23" s="113"/>
      <c r="M23" s="113"/>
      <c r="N23" s="113"/>
      <c r="O23" s="113"/>
      <c r="Q23" s="13" t="str">
        <f>text!B52</f>
        <v>Portugal</v>
      </c>
      <c r="R23" s="12" t="s">
        <v>5</v>
      </c>
      <c r="S23" s="12" t="str">
        <f>text!B53</f>
        <v>Brasiilia</v>
      </c>
      <c r="T23" s="42">
        <v>0</v>
      </c>
      <c r="U23" s="14" t="s">
        <v>5</v>
      </c>
      <c r="V23" s="42">
        <v>0</v>
      </c>
      <c r="X23" s="109">
        <f>IF(X18,text!B$74,"")</f>
      </c>
      <c r="Y23" s="109"/>
      <c r="Z23" s="109"/>
      <c r="AA23" s="109"/>
      <c r="AB23" s="109"/>
      <c r="AC23" s="109"/>
      <c r="AD23" s="109"/>
      <c r="AE23" s="109"/>
    </row>
    <row r="24" spans="1:31" s="12" customFormat="1" ht="12" customHeight="1">
      <c r="A24" s="13"/>
      <c r="E24" s="14"/>
      <c r="H24" s="114"/>
      <c r="I24" s="114"/>
      <c r="J24" s="114"/>
      <c r="K24" s="114"/>
      <c r="L24" s="114"/>
      <c r="M24" s="114"/>
      <c r="N24" s="114"/>
      <c r="O24" s="114"/>
      <c r="Q24" s="13"/>
      <c r="U24" s="14"/>
      <c r="X24" s="110"/>
      <c r="Y24" s="110"/>
      <c r="Z24" s="110"/>
      <c r="AA24" s="110"/>
      <c r="AB24" s="110"/>
      <c r="AC24" s="110"/>
      <c r="AD24" s="110"/>
      <c r="AE24" s="110"/>
    </row>
    <row r="25" spans="1:31" s="12" customFormat="1" ht="18" customHeight="1">
      <c r="A25" s="111" t="str">
        <f>I26</f>
        <v>D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/>
      <c r="Q25" s="111" t="str">
        <f>Y26</f>
        <v>H</v>
      </c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2"/>
    </row>
    <row r="26" spans="1:31" s="12" customFormat="1" ht="12" customHeight="1">
      <c r="A26" s="13" t="str">
        <f>text!B27</f>
        <v>Serbia</v>
      </c>
      <c r="B26" s="12" t="s">
        <v>5</v>
      </c>
      <c r="C26" s="12" t="str">
        <f>text!B28</f>
        <v>Ghaana</v>
      </c>
      <c r="D26" s="41">
        <v>0</v>
      </c>
      <c r="E26" s="14" t="s">
        <v>5</v>
      </c>
      <c r="F26" s="41">
        <v>1</v>
      </c>
      <c r="H26" s="15" t="b">
        <f>(calculation!AD34=text!B$73)</f>
        <v>0</v>
      </c>
      <c r="I26" s="26" t="str">
        <f>text!A26</f>
        <v>D</v>
      </c>
      <c r="J26" s="27" t="str">
        <f>text!A$64</f>
        <v>M</v>
      </c>
      <c r="K26" s="27" t="str">
        <f>text!A$65</f>
        <v>Pts</v>
      </c>
      <c r="L26" s="115" t="str">
        <f>text!A$69</f>
        <v>Väravad</v>
      </c>
      <c r="M26" s="115"/>
      <c r="N26" s="115"/>
      <c r="O26" s="27" t="str">
        <f>text!A$68</f>
        <v>Vahe</v>
      </c>
      <c r="Q26" s="13" t="str">
        <f>text!B59</f>
        <v>Honduuras</v>
      </c>
      <c r="R26" s="12" t="s">
        <v>5</v>
      </c>
      <c r="S26" s="12" t="str">
        <f>text!B60</f>
        <v>Tšiili</v>
      </c>
      <c r="T26" s="41">
        <v>0</v>
      </c>
      <c r="U26" s="14" t="s">
        <v>5</v>
      </c>
      <c r="V26" s="41">
        <v>1</v>
      </c>
      <c r="X26" s="15" t="b">
        <f>(calculation!AD66=text!B$73)</f>
        <v>0</v>
      </c>
      <c r="Y26" s="26" t="str">
        <f>text!A58</f>
        <v>H</v>
      </c>
      <c r="Z26" s="27" t="str">
        <f>text!A$64</f>
        <v>M</v>
      </c>
      <c r="AA26" s="27" t="str">
        <f>text!A$65</f>
        <v>Pts</v>
      </c>
      <c r="AB26" s="27" t="str">
        <f>text!A$69</f>
        <v>Väravad</v>
      </c>
      <c r="AC26" s="27"/>
      <c r="AD26" s="27"/>
      <c r="AE26" s="27" t="str">
        <f>text!A$68</f>
        <v>Vahe</v>
      </c>
    </row>
    <row r="27" spans="1:31" s="12" customFormat="1" ht="12" customHeight="1">
      <c r="A27" s="13" t="str">
        <f>text!B29</f>
        <v>Saksamaa</v>
      </c>
      <c r="B27" s="12" t="s">
        <v>5</v>
      </c>
      <c r="C27" s="12" t="str">
        <f>text!B30</f>
        <v>Austraalia</v>
      </c>
      <c r="D27" s="42">
        <v>4</v>
      </c>
      <c r="E27" s="14" t="s">
        <v>5</v>
      </c>
      <c r="F27" s="42">
        <v>0</v>
      </c>
      <c r="G27" s="15">
        <f>IF(H26,H27,1)</f>
        <v>1</v>
      </c>
      <c r="H27" s="106">
        <v>1</v>
      </c>
      <c r="I27" s="28" t="str">
        <f>INDEX(calculation!V30:AA33,MATCH(G27,calculation!AD30:AD33,0),1)</f>
        <v>Saksamaa</v>
      </c>
      <c r="J27" s="29">
        <f>INDEX(calculation!V30:AA33,MATCH(G27,calculation!AD30:AD33,0),2)</f>
        <v>3</v>
      </c>
      <c r="K27" s="29">
        <f>INDEX(calculation!V30:AA33,MATCH(G27,calculation!AD30:AD33,0),3)</f>
        <v>6</v>
      </c>
      <c r="L27" s="32">
        <f>INDEX(calculation!V30:AA33,MATCH(G27,calculation!AD30:AD33,0),4)</f>
        <v>5</v>
      </c>
      <c r="M27" s="38" t="s">
        <v>5</v>
      </c>
      <c r="N27" s="35">
        <f>INDEX(calculation!V30:AA33,MATCH(G27,calculation!AD30:AD33,0),5)</f>
        <v>1</v>
      </c>
      <c r="O27" s="29">
        <f>INDEX(calculation!V30:AA33,MATCH(G27,calculation!AD30:AD33,0),6)</f>
        <v>4</v>
      </c>
      <c r="Q27" s="13" t="str">
        <f>text!B61</f>
        <v>Hispaania</v>
      </c>
      <c r="R27" s="12" t="s">
        <v>5</v>
      </c>
      <c r="S27" s="12" t="str">
        <f>text!B62</f>
        <v>Šveits</v>
      </c>
      <c r="T27" s="42">
        <v>0</v>
      </c>
      <c r="U27" s="14" t="s">
        <v>5</v>
      </c>
      <c r="V27" s="42">
        <v>1</v>
      </c>
      <c r="W27" s="15">
        <f>IF(X26,X27,1)</f>
        <v>1</v>
      </c>
      <c r="X27" s="106">
        <v>1</v>
      </c>
      <c r="Y27" s="28" t="str">
        <f>INDEX(calculation!V62:AA65,MATCH(W27,calculation!AD62:AD65,0),1)</f>
        <v>Hispaania</v>
      </c>
      <c r="Z27" s="29">
        <f>INDEX(calculation!V62:AA65,MATCH(W27,calculation!AD62:AD65,0),2)</f>
        <v>3</v>
      </c>
      <c r="AA27" s="29">
        <f>INDEX(calculation!V62:AA65,MATCH(W27,calculation!AD62:AD65,0),3)</f>
        <v>6</v>
      </c>
      <c r="AB27" s="32">
        <f>INDEX(calculation!V62:AA65,MATCH(W27,calculation!AD62:AD65,0),4)</f>
        <v>4</v>
      </c>
      <c r="AC27" s="38" t="s">
        <v>5</v>
      </c>
      <c r="AD27" s="35">
        <f>INDEX(calculation!V62:AA65,MATCH(W27,calculation!AD62:AD65,0),5)</f>
        <v>2</v>
      </c>
      <c r="AE27" s="29">
        <f>INDEX(calculation!V62:AA65,MATCH(W27,calculation!AD62:AD65,0),6)</f>
        <v>2</v>
      </c>
    </row>
    <row r="28" spans="1:31" s="12" customFormat="1" ht="12" customHeight="1">
      <c r="A28" s="13" t="str">
        <f>text!B27</f>
        <v>Serbia</v>
      </c>
      <c r="B28" s="12" t="s">
        <v>5</v>
      </c>
      <c r="C28" s="12" t="str">
        <f>text!B29</f>
        <v>Saksamaa</v>
      </c>
      <c r="D28" s="42">
        <v>1</v>
      </c>
      <c r="E28" s="14" t="s">
        <v>5</v>
      </c>
      <c r="F28" s="42">
        <v>0</v>
      </c>
      <c r="G28" s="15">
        <f>IF(H26,H28,2)</f>
        <v>2</v>
      </c>
      <c r="H28" s="107">
        <v>2</v>
      </c>
      <c r="I28" s="30" t="str">
        <f>INDEX(calculation!V30:AA33,MATCH(G28,calculation!AD30:AD33,0),1)</f>
        <v>Ghaana</v>
      </c>
      <c r="J28" s="31">
        <f>INDEX(calculation!V30:AA33,MATCH(G28,calculation!AD30:AD33,0),2)</f>
        <v>3</v>
      </c>
      <c r="K28" s="31">
        <f>INDEX(calculation!V30:AA33,MATCH(G28,calculation!AD30:AD33,0),3)</f>
        <v>4</v>
      </c>
      <c r="L28" s="33">
        <f>INDEX(calculation!V30:AA33,MATCH(G28,calculation!AD30:AD33,0),4)</f>
        <v>2</v>
      </c>
      <c r="M28" s="14" t="s">
        <v>5</v>
      </c>
      <c r="N28" s="36">
        <f>INDEX(calculation!V30:AA33,MATCH(G28,calculation!AD30:AD33,0),5)</f>
        <v>2</v>
      </c>
      <c r="O28" s="31">
        <f>INDEX(calculation!V30:AA33,MATCH(G28,calculation!AD30:AD33,0),6)</f>
        <v>0</v>
      </c>
      <c r="Q28" s="13" t="str">
        <f>text!B59</f>
        <v>Honduuras</v>
      </c>
      <c r="R28" s="12" t="s">
        <v>5</v>
      </c>
      <c r="S28" s="12" t="str">
        <f>text!B61</f>
        <v>Hispaania</v>
      </c>
      <c r="T28" s="42">
        <v>0</v>
      </c>
      <c r="U28" s="14" t="s">
        <v>5</v>
      </c>
      <c r="V28" s="42">
        <v>2</v>
      </c>
      <c r="W28" s="15">
        <f>IF(X26,X28,2)</f>
        <v>2</v>
      </c>
      <c r="X28" s="107">
        <v>2</v>
      </c>
      <c r="Y28" s="30" t="str">
        <f>INDEX(calculation!V62:AA65,MATCH(W28,calculation!AD62:AD65,0),1)</f>
        <v>Tšiili</v>
      </c>
      <c r="Z28" s="31">
        <f>INDEX(calculation!V62:AA65,MATCH(W28,calculation!AD62:AD65,0),2)</f>
        <v>3</v>
      </c>
      <c r="AA28" s="31">
        <f>INDEX(calculation!V62:AA65,MATCH(W28,calculation!AD62:AD65,0),3)</f>
        <v>6</v>
      </c>
      <c r="AB28" s="33">
        <f>INDEX(calculation!V62:AA65,MATCH(W28,calculation!AD62:AD65,0),4)</f>
        <v>3</v>
      </c>
      <c r="AC28" s="14" t="s">
        <v>5</v>
      </c>
      <c r="AD28" s="36">
        <f>INDEX(calculation!V62:AA65,MATCH(W28,calculation!AD62:AD65,0),5)</f>
        <v>2</v>
      </c>
      <c r="AE28" s="31">
        <f>INDEX(calculation!V62:AA65,MATCH(W28,calculation!AD62:AD65,0),6)</f>
        <v>1</v>
      </c>
    </row>
    <row r="29" spans="1:31" s="12" customFormat="1" ht="12" customHeight="1">
      <c r="A29" s="13" t="str">
        <f>text!B30</f>
        <v>Austraalia</v>
      </c>
      <c r="B29" s="12" t="s">
        <v>5</v>
      </c>
      <c r="C29" s="12" t="str">
        <f>text!B28</f>
        <v>Ghaana</v>
      </c>
      <c r="D29" s="42">
        <v>1</v>
      </c>
      <c r="E29" s="14" t="s">
        <v>5</v>
      </c>
      <c r="F29" s="42">
        <v>1</v>
      </c>
      <c r="G29" s="15">
        <f>IF(H26,H29,3)</f>
        <v>3</v>
      </c>
      <c r="H29" s="107">
        <v>3</v>
      </c>
      <c r="I29" s="30" t="str">
        <f>INDEX(calculation!V30:AA33,MATCH(G29,calculation!AD30:AD33,0),1)</f>
        <v>Austraalia</v>
      </c>
      <c r="J29" s="31">
        <f>INDEX(calculation!V30:AA33,MATCH(G29,calculation!AD30:AD33,0),2)</f>
        <v>3</v>
      </c>
      <c r="K29" s="31">
        <f>INDEX(calculation!V30:AA33,MATCH(G29,calculation!AD30:AD33,0),3)</f>
        <v>4</v>
      </c>
      <c r="L29" s="33">
        <f>INDEX(calculation!V30:AA33,MATCH(G29,calculation!AD30:AD33,0),4)</f>
        <v>3</v>
      </c>
      <c r="M29" s="14" t="s">
        <v>5</v>
      </c>
      <c r="N29" s="36">
        <f>INDEX(calculation!V30:AA33,MATCH(G29,calculation!AD30:AD33,0),5)</f>
        <v>6</v>
      </c>
      <c r="O29" s="31">
        <f>INDEX(calculation!V30:AA33,MATCH(G29,calculation!AD30:AD33,0),6)</f>
        <v>-3</v>
      </c>
      <c r="Q29" s="13" t="str">
        <f>text!B62</f>
        <v>Šveits</v>
      </c>
      <c r="R29" s="12" t="s">
        <v>5</v>
      </c>
      <c r="S29" s="12" t="str">
        <f>text!B60</f>
        <v>Tšiili</v>
      </c>
      <c r="T29" s="42">
        <v>0</v>
      </c>
      <c r="U29" s="14" t="s">
        <v>5</v>
      </c>
      <c r="V29" s="42">
        <v>1</v>
      </c>
      <c r="W29" s="15">
        <f>IF(X26,X29,3)</f>
        <v>3</v>
      </c>
      <c r="X29" s="107">
        <v>3</v>
      </c>
      <c r="Y29" s="30" t="str">
        <f>INDEX(calculation!V62:AA65,MATCH(W29,calculation!AD62:AD65,0),1)</f>
        <v>Šveits</v>
      </c>
      <c r="Z29" s="31">
        <f>INDEX(calculation!V62:AA65,MATCH(W29,calculation!AD62:AD65,0),2)</f>
        <v>3</v>
      </c>
      <c r="AA29" s="31">
        <f>INDEX(calculation!V62:AA65,MATCH(W29,calculation!AD62:AD65,0),3)</f>
        <v>4</v>
      </c>
      <c r="AB29" s="33">
        <f>INDEX(calculation!V62:AA65,MATCH(W29,calculation!AD62:AD65,0),4)</f>
        <v>1</v>
      </c>
      <c r="AC29" s="14" t="s">
        <v>5</v>
      </c>
      <c r="AD29" s="36">
        <f>INDEX(calculation!V62:AA65,MATCH(W29,calculation!AD62:AD65,0),5)</f>
        <v>1</v>
      </c>
      <c r="AE29" s="31">
        <f>INDEX(calculation!V62:AA65,MATCH(W29,calculation!AD62:AD65,0),6)</f>
        <v>0</v>
      </c>
    </row>
    <row r="30" spans="1:31" s="12" customFormat="1" ht="12" customHeight="1">
      <c r="A30" s="13" t="str">
        <f>text!B30</f>
        <v>Austraalia</v>
      </c>
      <c r="B30" s="12" t="s">
        <v>5</v>
      </c>
      <c r="C30" s="12" t="str">
        <f>text!B27</f>
        <v>Serbia</v>
      </c>
      <c r="D30" s="42">
        <v>2</v>
      </c>
      <c r="E30" s="14" t="s">
        <v>5</v>
      </c>
      <c r="F30" s="42">
        <v>1</v>
      </c>
      <c r="G30" s="15">
        <f>IF(H26,H30,4)</f>
        <v>4</v>
      </c>
      <c r="H30" s="108">
        <v>4</v>
      </c>
      <c r="I30" s="26" t="str">
        <f>INDEX(calculation!V30:AA33,MATCH(G30,calculation!AD30:AD33,0),1)</f>
        <v>Serbia</v>
      </c>
      <c r="J30" s="27">
        <f>INDEX(calculation!V30:AA33,MATCH(G30,calculation!AD30:AD33,0),2)</f>
        <v>3</v>
      </c>
      <c r="K30" s="27">
        <f>INDEX(calculation!V30:AA33,MATCH(G30,calculation!AD30:AD33,0),3)</f>
        <v>3</v>
      </c>
      <c r="L30" s="34">
        <f>INDEX(calculation!V30:AA33,MATCH(G30,calculation!AD30:AD33,0),4)</f>
        <v>2</v>
      </c>
      <c r="M30" s="25" t="s">
        <v>5</v>
      </c>
      <c r="N30" s="37">
        <f>INDEX(calculation!V30:AA33,MATCH(G30,calculation!AD30:AD33,0),5)</f>
        <v>3</v>
      </c>
      <c r="O30" s="27">
        <f>INDEX(calculation!V30:AA33,MATCH(G30,calculation!AD30:AD33,0),6)</f>
        <v>-1</v>
      </c>
      <c r="Q30" s="13" t="str">
        <f>text!B62</f>
        <v>Šveits</v>
      </c>
      <c r="R30" s="12" t="s">
        <v>5</v>
      </c>
      <c r="S30" s="12" t="str">
        <f>text!B59</f>
        <v>Honduuras</v>
      </c>
      <c r="T30" s="42">
        <v>0</v>
      </c>
      <c r="U30" s="14" t="s">
        <v>5</v>
      </c>
      <c r="V30" s="42">
        <v>0</v>
      </c>
      <c r="W30" s="15">
        <f>IF(X26,X30,4)</f>
        <v>4</v>
      </c>
      <c r="X30" s="108">
        <v>4</v>
      </c>
      <c r="Y30" s="26" t="str">
        <f>INDEX(calculation!V62:AA65,MATCH(W30,calculation!AD62:AD65,0),1)</f>
        <v>Honduuras</v>
      </c>
      <c r="Z30" s="27">
        <f>INDEX(calculation!V62:AA65,MATCH(W30,calculation!AD62:AD65,0),2)</f>
        <v>3</v>
      </c>
      <c r="AA30" s="27">
        <f>INDEX(calculation!V62:AA65,MATCH(W30,calculation!AD62:AD65,0),3)</f>
        <v>1</v>
      </c>
      <c r="AB30" s="34">
        <f>INDEX(calculation!V62:AA65,MATCH(W30,calculation!AD62:AD65,0),4)</f>
        <v>0</v>
      </c>
      <c r="AC30" s="25" t="s">
        <v>5</v>
      </c>
      <c r="AD30" s="37">
        <f>INDEX(calculation!V62:AA65,MATCH(W30,calculation!AD62:AD65,0),5)</f>
        <v>3</v>
      </c>
      <c r="AE30" s="27">
        <f>INDEX(calculation!V62:AA65,MATCH(W30,calculation!AD62:AD65,0),6)</f>
        <v>-3</v>
      </c>
    </row>
    <row r="31" spans="1:31" s="12" customFormat="1" ht="12" customHeight="1">
      <c r="A31" s="13" t="str">
        <f>text!B28</f>
        <v>Ghaana</v>
      </c>
      <c r="B31" s="12" t="s">
        <v>5</v>
      </c>
      <c r="C31" s="12" t="str">
        <f>text!B29</f>
        <v>Saksamaa</v>
      </c>
      <c r="D31" s="42">
        <v>0</v>
      </c>
      <c r="E31" s="14" t="s">
        <v>5</v>
      </c>
      <c r="F31" s="42">
        <v>1</v>
      </c>
      <c r="H31" s="113">
        <f>IF(H26,text!B$74,"")</f>
      </c>
      <c r="I31" s="113"/>
      <c r="J31" s="113"/>
      <c r="K31" s="113"/>
      <c r="L31" s="113"/>
      <c r="M31" s="113"/>
      <c r="N31" s="113"/>
      <c r="O31" s="113"/>
      <c r="Q31" s="13" t="str">
        <f>text!B60</f>
        <v>Tšiili</v>
      </c>
      <c r="R31" s="12" t="s">
        <v>5</v>
      </c>
      <c r="S31" s="12" t="str">
        <f>text!B61</f>
        <v>Hispaania</v>
      </c>
      <c r="T31" s="42">
        <v>1</v>
      </c>
      <c r="U31" s="14" t="s">
        <v>5</v>
      </c>
      <c r="V31" s="42">
        <v>2</v>
      </c>
      <c r="X31" s="113">
        <f>IF(X26,text!B$74,"")</f>
      </c>
      <c r="Y31" s="113"/>
      <c r="Z31" s="113"/>
      <c r="AA31" s="113"/>
      <c r="AB31" s="113"/>
      <c r="AC31" s="113"/>
      <c r="AD31" s="113"/>
      <c r="AE31" s="113"/>
    </row>
    <row r="32" spans="1:31" s="12" customFormat="1" ht="12" customHeight="1">
      <c r="A32" s="13"/>
      <c r="E32" s="14"/>
      <c r="H32" s="114"/>
      <c r="I32" s="114"/>
      <c r="J32" s="114"/>
      <c r="K32" s="114"/>
      <c r="L32" s="114"/>
      <c r="M32" s="114"/>
      <c r="N32" s="114"/>
      <c r="O32" s="114"/>
      <c r="U32" s="14"/>
      <c r="X32" s="114"/>
      <c r="Y32" s="114"/>
      <c r="Z32" s="114"/>
      <c r="AA32" s="114"/>
      <c r="AB32" s="114"/>
      <c r="AC32" s="114"/>
      <c r="AD32" s="114"/>
      <c r="AE32" s="114"/>
    </row>
    <row r="33" s="12" customFormat="1" ht="18" customHeight="1"/>
    <row r="34" s="12" customFormat="1" ht="12" customHeight="1"/>
    <row r="35" s="12" customFormat="1" ht="12" customHeight="1"/>
    <row r="36" s="12" customFormat="1" ht="12" customHeight="1"/>
    <row r="37" s="12" customFormat="1" ht="12" customHeight="1"/>
    <row r="38" spans="17:31" s="12" customFormat="1" ht="12" customHeight="1">
      <c r="Q38" s="4"/>
      <c r="R38" s="4"/>
      <c r="S38" s="4"/>
      <c r="T38" s="4"/>
      <c r="U38" s="11"/>
      <c r="V38" s="4"/>
      <c r="W38" s="4"/>
      <c r="X38" s="4"/>
      <c r="Y38" s="4"/>
      <c r="Z38" s="5"/>
      <c r="AA38" s="5"/>
      <c r="AB38" s="6"/>
      <c r="AC38" s="5"/>
      <c r="AD38" s="7"/>
      <c r="AE38" s="5"/>
    </row>
    <row r="39" spans="17:31" s="12" customFormat="1" ht="12" customHeight="1">
      <c r="Q39" s="4"/>
      <c r="R39" s="4"/>
      <c r="S39" s="4"/>
      <c r="T39" s="4"/>
      <c r="U39" s="11"/>
      <c r="V39" s="4"/>
      <c r="W39" s="4"/>
      <c r="X39" s="4"/>
      <c r="Y39" s="4"/>
      <c r="Z39" s="5"/>
      <c r="AA39" s="5"/>
      <c r="AB39" s="6"/>
      <c r="AC39" s="5"/>
      <c r="AD39" s="7"/>
      <c r="AE39" s="5"/>
    </row>
    <row r="40" spans="17:31" s="12" customFormat="1" ht="12" customHeight="1">
      <c r="Q40" s="4"/>
      <c r="R40" s="4"/>
      <c r="S40" s="4"/>
      <c r="T40" s="4"/>
      <c r="U40" s="11"/>
      <c r="V40" s="4"/>
      <c r="W40" s="4"/>
      <c r="X40" s="4"/>
      <c r="Y40" s="4"/>
      <c r="Z40" s="5"/>
      <c r="AA40" s="5"/>
      <c r="AB40" s="6"/>
      <c r="AC40" s="5"/>
      <c r="AD40" s="7"/>
      <c r="AE40" s="5"/>
    </row>
    <row r="41" spans="17:31" s="12" customFormat="1" ht="18" customHeight="1">
      <c r="Q41" s="4"/>
      <c r="R41" s="4"/>
      <c r="S41" s="4"/>
      <c r="T41" s="4"/>
      <c r="U41" s="11"/>
      <c r="V41" s="4"/>
      <c r="W41" s="4"/>
      <c r="X41" s="4"/>
      <c r="Y41" s="4"/>
      <c r="Z41" s="5"/>
      <c r="AA41" s="5"/>
      <c r="AB41" s="6"/>
      <c r="AC41" s="5"/>
      <c r="AD41" s="7"/>
      <c r="AE41" s="5"/>
    </row>
    <row r="42" spans="17:31" s="12" customFormat="1" ht="12" customHeight="1">
      <c r="Q42" s="4"/>
      <c r="R42" s="4"/>
      <c r="S42" s="4"/>
      <c r="T42" s="4"/>
      <c r="U42" s="11"/>
      <c r="V42" s="4"/>
      <c r="W42" s="4"/>
      <c r="X42" s="4"/>
      <c r="Y42" s="4"/>
      <c r="Z42" s="5"/>
      <c r="AA42" s="5"/>
      <c r="AB42" s="6"/>
      <c r="AC42" s="5"/>
      <c r="AD42" s="7"/>
      <c r="AE42" s="5"/>
    </row>
    <row r="43" spans="17:31" s="12" customFormat="1" ht="12" customHeight="1">
      <c r="Q43" s="4"/>
      <c r="R43" s="4"/>
      <c r="S43" s="4"/>
      <c r="T43" s="4"/>
      <c r="U43" s="11"/>
      <c r="V43" s="4"/>
      <c r="W43" s="4"/>
      <c r="X43" s="4"/>
      <c r="Y43" s="4"/>
      <c r="Z43" s="5"/>
      <c r="AA43" s="5"/>
      <c r="AB43" s="6"/>
      <c r="AC43" s="5"/>
      <c r="AD43" s="7"/>
      <c r="AE43" s="5"/>
    </row>
    <row r="44" spans="17:31" s="12" customFormat="1" ht="12" customHeight="1">
      <c r="Q44" s="4"/>
      <c r="R44" s="4"/>
      <c r="S44" s="4"/>
      <c r="T44" s="4"/>
      <c r="U44" s="11"/>
      <c r="V44" s="4"/>
      <c r="W44" s="4"/>
      <c r="X44" s="4"/>
      <c r="Y44" s="4"/>
      <c r="Z44" s="5"/>
      <c r="AA44" s="5"/>
      <c r="AB44" s="6"/>
      <c r="AC44" s="5"/>
      <c r="AD44" s="7"/>
      <c r="AE44" s="5"/>
    </row>
    <row r="45" spans="17:31" s="12" customFormat="1" ht="12" customHeight="1">
      <c r="Q45" s="4"/>
      <c r="R45" s="4"/>
      <c r="S45" s="4"/>
      <c r="T45" s="4"/>
      <c r="U45" s="11"/>
      <c r="V45" s="4"/>
      <c r="W45" s="4"/>
      <c r="X45" s="4"/>
      <c r="Y45" s="4"/>
      <c r="Z45" s="5"/>
      <c r="AA45" s="5"/>
      <c r="AB45" s="6"/>
      <c r="AC45" s="5"/>
      <c r="AD45" s="7"/>
      <c r="AE45" s="5"/>
    </row>
    <row r="46" spans="17:31" s="12" customFormat="1" ht="12" customHeight="1">
      <c r="Q46" s="4"/>
      <c r="R46" s="4"/>
      <c r="S46" s="4"/>
      <c r="T46" s="4"/>
      <c r="U46" s="11"/>
      <c r="V46" s="4"/>
      <c r="W46" s="4"/>
      <c r="X46" s="4"/>
      <c r="Y46" s="4"/>
      <c r="Z46" s="5"/>
      <c r="AA46" s="5"/>
      <c r="AB46" s="6"/>
      <c r="AC46" s="5"/>
      <c r="AD46" s="7"/>
      <c r="AE46" s="5"/>
    </row>
    <row r="47" spans="17:31" s="12" customFormat="1" ht="12" customHeight="1">
      <c r="Q47" s="4"/>
      <c r="R47" s="4"/>
      <c r="S47" s="4"/>
      <c r="T47" s="4"/>
      <c r="U47" s="11"/>
      <c r="V47" s="4"/>
      <c r="W47" s="4"/>
      <c r="X47" s="4"/>
      <c r="Y47" s="4"/>
      <c r="Z47" s="5"/>
      <c r="AA47" s="5"/>
      <c r="AB47" s="6"/>
      <c r="AC47" s="5"/>
      <c r="AD47" s="7"/>
      <c r="AE47" s="5"/>
    </row>
    <row r="48" spans="17:31" s="12" customFormat="1" ht="12" customHeight="1">
      <c r="Q48" s="4"/>
      <c r="R48" s="4"/>
      <c r="S48" s="4"/>
      <c r="T48" s="4"/>
      <c r="U48" s="11"/>
      <c r="V48" s="4"/>
      <c r="W48" s="4"/>
      <c r="X48" s="4"/>
      <c r="Y48" s="4"/>
      <c r="Z48" s="5"/>
      <c r="AA48" s="5"/>
      <c r="AB48" s="6"/>
      <c r="AC48" s="5"/>
      <c r="AD48" s="7"/>
      <c r="AE48" s="5"/>
    </row>
    <row r="49" spans="17:31" s="12" customFormat="1" ht="18" customHeight="1">
      <c r="Q49" s="4"/>
      <c r="R49" s="4"/>
      <c r="S49" s="4"/>
      <c r="T49" s="4"/>
      <c r="U49" s="11"/>
      <c r="V49" s="4"/>
      <c r="W49" s="4"/>
      <c r="X49" s="4"/>
      <c r="Y49" s="4"/>
      <c r="Z49" s="5"/>
      <c r="AA49" s="5"/>
      <c r="AB49" s="6"/>
      <c r="AC49" s="5"/>
      <c r="AD49" s="7"/>
      <c r="AE49" s="5"/>
    </row>
    <row r="50" spans="17:31" s="12" customFormat="1" ht="12" customHeight="1">
      <c r="Q50" s="4"/>
      <c r="R50" s="4"/>
      <c r="S50" s="4"/>
      <c r="T50" s="4"/>
      <c r="U50" s="11"/>
      <c r="V50" s="4"/>
      <c r="W50" s="4"/>
      <c r="X50" s="4"/>
      <c r="Y50" s="4"/>
      <c r="Z50" s="5"/>
      <c r="AA50" s="5"/>
      <c r="AB50" s="6"/>
      <c r="AC50" s="5"/>
      <c r="AD50" s="7"/>
      <c r="AE50" s="5"/>
    </row>
    <row r="51" spans="17:31" s="12" customFormat="1" ht="12" customHeight="1">
      <c r="Q51" s="4"/>
      <c r="R51" s="4"/>
      <c r="S51" s="4"/>
      <c r="T51" s="4"/>
      <c r="U51" s="11"/>
      <c r="V51" s="4"/>
      <c r="W51" s="4"/>
      <c r="X51" s="4"/>
      <c r="Y51" s="4"/>
      <c r="Z51" s="5"/>
      <c r="AA51" s="5"/>
      <c r="AB51" s="6"/>
      <c r="AC51" s="5"/>
      <c r="AD51" s="7"/>
      <c r="AE51" s="5"/>
    </row>
    <row r="52" spans="17:31" s="12" customFormat="1" ht="12" customHeight="1">
      <c r="Q52" s="4"/>
      <c r="R52" s="4"/>
      <c r="S52" s="4"/>
      <c r="T52" s="4"/>
      <c r="U52" s="11"/>
      <c r="V52" s="4"/>
      <c r="W52" s="4"/>
      <c r="X52" s="4"/>
      <c r="Y52" s="4"/>
      <c r="Z52" s="5"/>
      <c r="AA52" s="5"/>
      <c r="AB52" s="6"/>
      <c r="AC52" s="5"/>
      <c r="AD52" s="7"/>
      <c r="AE52" s="5"/>
    </row>
    <row r="53" spans="17:31" s="12" customFormat="1" ht="12" customHeight="1">
      <c r="Q53" s="4"/>
      <c r="R53" s="4"/>
      <c r="S53" s="4"/>
      <c r="T53" s="4"/>
      <c r="U53" s="11"/>
      <c r="V53" s="4"/>
      <c r="W53" s="4"/>
      <c r="X53" s="4"/>
      <c r="Y53" s="4"/>
      <c r="Z53" s="5"/>
      <c r="AA53" s="5"/>
      <c r="AB53" s="6"/>
      <c r="AC53" s="5"/>
      <c r="AD53" s="7"/>
      <c r="AE53" s="5"/>
    </row>
    <row r="54" spans="17:31" s="12" customFormat="1" ht="12" customHeight="1">
      <c r="Q54" s="4"/>
      <c r="R54" s="4"/>
      <c r="S54" s="4"/>
      <c r="T54" s="4"/>
      <c r="U54" s="11"/>
      <c r="V54" s="4"/>
      <c r="W54" s="4"/>
      <c r="X54" s="4"/>
      <c r="Y54" s="4"/>
      <c r="Z54" s="5"/>
      <c r="AA54" s="5"/>
      <c r="AB54" s="6"/>
      <c r="AC54" s="5"/>
      <c r="AD54" s="7"/>
      <c r="AE54" s="5"/>
    </row>
    <row r="55" spans="17:31" s="12" customFormat="1" ht="12" customHeight="1">
      <c r="Q55" s="4"/>
      <c r="R55" s="4"/>
      <c r="S55" s="4"/>
      <c r="T55" s="4"/>
      <c r="U55" s="11"/>
      <c r="V55" s="4"/>
      <c r="W55" s="4"/>
      <c r="X55" s="4"/>
      <c r="Y55" s="4"/>
      <c r="Z55" s="5"/>
      <c r="AA55" s="5"/>
      <c r="AB55" s="6"/>
      <c r="AC55" s="5"/>
      <c r="AD55" s="7"/>
      <c r="AE55" s="5"/>
    </row>
    <row r="56" spans="17:31" s="12" customFormat="1" ht="12" customHeight="1">
      <c r="Q56" s="4"/>
      <c r="R56" s="4"/>
      <c r="S56" s="4"/>
      <c r="T56" s="4"/>
      <c r="U56" s="11"/>
      <c r="V56" s="4"/>
      <c r="W56" s="4"/>
      <c r="X56" s="4"/>
      <c r="Y56" s="4"/>
      <c r="Z56" s="5"/>
      <c r="AA56" s="5"/>
      <c r="AB56" s="6"/>
      <c r="AC56" s="5"/>
      <c r="AD56" s="7"/>
      <c r="AE56" s="5"/>
    </row>
    <row r="57" spans="17:31" s="12" customFormat="1" ht="18" customHeight="1">
      <c r="Q57" s="4"/>
      <c r="R57" s="4"/>
      <c r="S57" s="4"/>
      <c r="T57" s="4"/>
      <c r="U57" s="11"/>
      <c r="V57" s="4"/>
      <c r="W57" s="4"/>
      <c r="X57" s="4"/>
      <c r="Y57" s="4"/>
      <c r="Z57" s="5"/>
      <c r="AA57" s="5"/>
      <c r="AB57" s="6"/>
      <c r="AC57" s="5"/>
      <c r="AD57" s="7"/>
      <c r="AE57" s="5"/>
    </row>
    <row r="58" spans="17:31" s="12" customFormat="1" ht="12" customHeight="1">
      <c r="Q58" s="4"/>
      <c r="R58" s="4"/>
      <c r="S58" s="4"/>
      <c r="T58" s="4"/>
      <c r="U58" s="11"/>
      <c r="V58" s="4"/>
      <c r="W58" s="4"/>
      <c r="X58" s="4"/>
      <c r="Y58" s="4"/>
      <c r="Z58" s="5"/>
      <c r="AA58" s="5"/>
      <c r="AB58" s="6"/>
      <c r="AC58" s="5"/>
      <c r="AD58" s="7"/>
      <c r="AE58" s="5"/>
    </row>
    <row r="59" spans="17:31" s="12" customFormat="1" ht="12" customHeight="1">
      <c r="Q59" s="4"/>
      <c r="R59" s="4"/>
      <c r="S59" s="4"/>
      <c r="T59" s="4"/>
      <c r="U59" s="11"/>
      <c r="V59" s="4"/>
      <c r="W59" s="4"/>
      <c r="X59" s="4"/>
      <c r="Y59" s="4"/>
      <c r="Z59" s="5"/>
      <c r="AA59" s="5"/>
      <c r="AB59" s="6"/>
      <c r="AC59" s="5"/>
      <c r="AD59" s="7"/>
      <c r="AE59" s="5"/>
    </row>
    <row r="60" spans="17:31" s="12" customFormat="1" ht="12" customHeight="1">
      <c r="Q60" s="4"/>
      <c r="R60" s="4"/>
      <c r="S60" s="4"/>
      <c r="T60" s="4"/>
      <c r="U60" s="11"/>
      <c r="V60" s="4"/>
      <c r="W60" s="4"/>
      <c r="X60" s="4"/>
      <c r="Y60" s="4"/>
      <c r="Z60" s="5"/>
      <c r="AA60" s="5"/>
      <c r="AB60" s="6"/>
      <c r="AC60" s="5"/>
      <c r="AD60" s="7"/>
      <c r="AE60" s="5"/>
    </row>
    <row r="61" spans="17:31" s="12" customFormat="1" ht="12" customHeight="1">
      <c r="Q61" s="4"/>
      <c r="R61" s="4"/>
      <c r="S61" s="4"/>
      <c r="T61" s="4"/>
      <c r="U61" s="11"/>
      <c r="V61" s="4"/>
      <c r="W61" s="4"/>
      <c r="X61" s="4"/>
      <c r="Y61" s="4"/>
      <c r="Z61" s="5"/>
      <c r="AA61" s="5"/>
      <c r="AB61" s="6"/>
      <c r="AC61" s="5"/>
      <c r="AD61" s="7"/>
      <c r="AE61" s="5"/>
    </row>
    <row r="62" spans="17:31" s="12" customFormat="1" ht="12" customHeight="1">
      <c r="Q62" s="4"/>
      <c r="R62" s="4"/>
      <c r="S62" s="4"/>
      <c r="T62" s="4"/>
      <c r="U62" s="11"/>
      <c r="V62" s="4"/>
      <c r="W62" s="4"/>
      <c r="X62" s="4"/>
      <c r="Y62" s="4"/>
      <c r="Z62" s="5"/>
      <c r="AA62" s="5"/>
      <c r="AB62" s="6"/>
      <c r="AC62" s="5"/>
      <c r="AD62" s="7"/>
      <c r="AE62" s="5"/>
    </row>
    <row r="63" spans="17:31" s="12" customFormat="1" ht="12" customHeight="1">
      <c r="Q63" s="4"/>
      <c r="R63" s="4"/>
      <c r="S63" s="4"/>
      <c r="T63" s="4"/>
      <c r="U63" s="11"/>
      <c r="V63" s="4"/>
      <c r="W63" s="4"/>
      <c r="X63" s="4"/>
      <c r="Y63" s="4"/>
      <c r="Z63" s="5"/>
      <c r="AA63" s="5"/>
      <c r="AB63" s="6"/>
      <c r="AC63" s="5"/>
      <c r="AD63" s="7"/>
      <c r="AE63" s="5"/>
    </row>
    <row r="64" spans="17:31" s="12" customFormat="1" ht="12" customHeight="1">
      <c r="Q64" s="4"/>
      <c r="R64" s="4"/>
      <c r="S64" s="4"/>
      <c r="T64" s="4"/>
      <c r="U64" s="11"/>
      <c r="V64" s="4"/>
      <c r="W64" s="4"/>
      <c r="X64" s="4"/>
      <c r="Y64" s="4"/>
      <c r="Z64" s="5"/>
      <c r="AA64" s="5"/>
      <c r="AB64" s="6"/>
      <c r="AC64" s="5"/>
      <c r="AD64" s="7"/>
      <c r="AE64" s="5"/>
    </row>
  </sheetData>
  <sheetProtection selectLockedCells="1"/>
  <mergeCells count="17">
    <mergeCell ref="L26:N26"/>
    <mergeCell ref="H23:O24"/>
    <mergeCell ref="L2:N2"/>
    <mergeCell ref="L10:N10"/>
    <mergeCell ref="L18:N18"/>
    <mergeCell ref="H7:O8"/>
    <mergeCell ref="H15:O16"/>
    <mergeCell ref="Q17:AE17"/>
    <mergeCell ref="Q25:AE25"/>
    <mergeCell ref="Q1:AE1"/>
    <mergeCell ref="Q9:AE9"/>
    <mergeCell ref="X31:AE32"/>
    <mergeCell ref="A25:O25"/>
    <mergeCell ref="A17:O17"/>
    <mergeCell ref="A9:O9"/>
    <mergeCell ref="H31:O32"/>
    <mergeCell ref="A1:O1"/>
  </mergeCells>
  <conditionalFormatting sqref="H3 H11 H19 H27 X3 X11 X19 X27">
    <cfRule type="expression" priority="5" dxfId="1" stopIfTrue="1">
      <formula>H2</formula>
    </cfRule>
  </conditionalFormatting>
  <conditionalFormatting sqref="H4 H12 H20 H28 X4 X12 X20 X28">
    <cfRule type="expression" priority="6" dxfId="1" stopIfTrue="1">
      <formula>H2</formula>
    </cfRule>
  </conditionalFormatting>
  <conditionalFormatting sqref="H5 H13 H21 H29 X5 X13 X21 X29">
    <cfRule type="expression" priority="7" dxfId="1" stopIfTrue="1">
      <formula>H2</formula>
    </cfRule>
  </conditionalFormatting>
  <conditionalFormatting sqref="H6 H14 H22 H30 X6 X14 X22 X30">
    <cfRule type="expression" priority="8" dxfId="1" stopIfTrue="1">
      <formula>H2</formula>
    </cfRule>
  </conditionalFormatting>
  <dataValidations count="2">
    <dataValidation type="whole" allowBlank="1" showInputMessage="1" showErrorMessage="1" sqref="X27:X30 X19:X22 X11:X14 X3:X6 H11:H14 H19:H22 H27:H30 H3:H6">
      <formula1>1</formula1>
      <formula2>4</formula2>
    </dataValidation>
    <dataValidation type="whole" operator="greaterThanOrEqual" allowBlank="1" showErrorMessage="1" sqref="T26:T31 V2:V7 T2:T7 V10:V15 T10:T15 V18:V23 T18:T23 V26:V31 D26:D31 F26:F31 D18:D23 F18:F23 D10:D15 F10:F15 D2:D7 F2:F7">
      <formula1>0</formula1>
    </dataValidation>
  </dataValidations>
  <printOptions horizontalCentered="1"/>
  <pageMargins left="0.5" right="0.5" top="0.5" bottom="0.5" header="0.5" footer="0.35"/>
  <pageSetup horizontalDpi="600" verticalDpi="600" orientation="portrait" scale="77" r:id="rId1"/>
  <headerFooter alignWithMargins="0">
    <oddFooter>&amp;L&amp;"Tahoma,Regular"&amp;8
This template and many others can be downloaded from Office Online for free!&amp;R&amp;"Tahoma,Regular"&amp;8
http://office.microsoft.com</oddFooter>
  </headerFooter>
  <ignoredErrors>
    <ignoredError sqref="A3 A11 A19 A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34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23.8515625" style="1" bestFit="1" customWidth="1"/>
    <col min="2" max="2" width="3.57421875" style="1" customWidth="1"/>
    <col min="3" max="3" width="1.57421875" style="1" bestFit="1" customWidth="1"/>
    <col min="4" max="4" width="3.57421875" style="1" customWidth="1"/>
    <col min="5" max="5" width="25.7109375" style="1" bestFit="1" customWidth="1"/>
    <col min="6" max="16384" width="11.421875" style="1" customWidth="1"/>
  </cols>
  <sheetData>
    <row r="1" spans="1:5" s="17" customFormat="1" ht="21.75" customHeight="1">
      <c r="A1" s="123" t="str">
        <f>text!B77</f>
        <v>Teine Ring</v>
      </c>
      <c r="B1" s="123"/>
      <c r="C1" s="123"/>
      <c r="D1" s="123"/>
      <c r="E1" s="123"/>
    </row>
    <row r="2" spans="1:10" s="12" customFormat="1" ht="12" customHeight="1">
      <c r="A2" s="20"/>
      <c r="B2" s="20"/>
      <c r="C2" s="20"/>
      <c r="D2" s="20"/>
      <c r="E2" s="20"/>
      <c r="H2" s="16"/>
      <c r="I2" s="16"/>
      <c r="J2" s="13"/>
    </row>
    <row r="3" spans="1:11" s="12" customFormat="1" ht="12" customHeight="1">
      <c r="A3" s="20"/>
      <c r="B3" s="20"/>
      <c r="C3" s="20"/>
      <c r="D3" s="20"/>
      <c r="E3" s="20"/>
      <c r="I3" s="16"/>
      <c r="J3" s="16"/>
      <c r="K3" s="16"/>
    </row>
    <row r="4" spans="1:5" s="12" customFormat="1" ht="18" customHeight="1">
      <c r="A4" s="116" t="str">
        <f>text!B78</f>
        <v>kaheksandik_finaal</v>
      </c>
      <c r="B4" s="116"/>
      <c r="C4" s="116"/>
      <c r="D4" s="116"/>
      <c r="E4" s="116"/>
    </row>
    <row r="5" spans="1:5" s="18" customFormat="1" ht="12" customHeight="1">
      <c r="A5" s="22" t="str">
        <f>IF(calculation!W10,'Round 1'!I3,text!B84&amp;" "&amp;text!B86&amp;" A")</f>
        <v>Uruguai</v>
      </c>
      <c r="B5" s="41">
        <v>2</v>
      </c>
      <c r="C5" s="23" t="s">
        <v>5</v>
      </c>
      <c r="D5" s="41">
        <v>1</v>
      </c>
      <c r="E5" s="24" t="str">
        <f>IF(calculation!W18,'Round 1'!I12,text!B85&amp;" "&amp;text!B86&amp;" B")</f>
        <v>Lõuna Korea</v>
      </c>
    </row>
    <row r="6" spans="1:5" s="18" customFormat="1" ht="12" customHeight="1">
      <c r="A6" s="22" t="str">
        <f>IF(calculation!W18,'Round 1'!I11,text!B84&amp;" "&amp;text!B86&amp;" B")</f>
        <v>Argentiina</v>
      </c>
      <c r="B6" s="42">
        <v>3</v>
      </c>
      <c r="C6" s="23" t="s">
        <v>5</v>
      </c>
      <c r="D6" s="42">
        <v>1</v>
      </c>
      <c r="E6" s="24" t="str">
        <f>IF(calculation!W10,'Round 1'!I4,text!B85&amp;" "&amp;text!B86&amp;" A")</f>
        <v>Mehhiko</v>
      </c>
    </row>
    <row r="7" spans="1:5" s="18" customFormat="1" ht="12" customHeight="1">
      <c r="A7" s="22" t="str">
        <f>IF(calculation!W26,'Round 1'!I19,text!B84&amp;" "&amp;text!B86&amp;" C")</f>
        <v>Ameerika Ühendriigid</v>
      </c>
      <c r="B7" s="42">
        <v>1</v>
      </c>
      <c r="C7" s="23" t="s">
        <v>5</v>
      </c>
      <c r="D7" s="42">
        <v>2</v>
      </c>
      <c r="E7" s="24" t="str">
        <f>IF(calculation!W34,'Round 1'!I28,text!B85&amp;" "&amp;text!B86&amp;" D")</f>
        <v>Ghaana</v>
      </c>
    </row>
    <row r="8" spans="1:5" s="18" customFormat="1" ht="12" customHeight="1">
      <c r="A8" s="22" t="str">
        <f>IF(calculation!W34,'Round 1'!I27,text!B84&amp;" "&amp;text!B86&amp;" D")</f>
        <v>Saksamaa</v>
      </c>
      <c r="B8" s="42">
        <v>4</v>
      </c>
      <c r="C8" s="23" t="s">
        <v>5</v>
      </c>
      <c r="D8" s="42">
        <v>1</v>
      </c>
      <c r="E8" s="24" t="str">
        <f>IF(calculation!W26,'Round 1'!I20,text!B85&amp;" "&amp;text!B86&amp;" C")</f>
        <v>Inglismaa</v>
      </c>
    </row>
    <row r="9" spans="1:5" s="18" customFormat="1" ht="12" customHeight="1">
      <c r="A9" s="22" t="str">
        <f>IF(calculation!W42,'Round 1'!Y3,text!B84&amp;" "&amp;text!B86&amp;" E")</f>
        <v>Holland</v>
      </c>
      <c r="B9" s="42">
        <v>2</v>
      </c>
      <c r="C9" s="23" t="s">
        <v>5</v>
      </c>
      <c r="D9" s="42">
        <v>1</v>
      </c>
      <c r="E9" s="24" t="str">
        <f>IF(calculation!W50,'Round 1'!Y12,text!B85&amp;" "&amp;text!B86&amp;" F")</f>
        <v>Slovakkia</v>
      </c>
    </row>
    <row r="10" spans="1:5" s="18" customFormat="1" ht="12" customHeight="1">
      <c r="A10" s="22" t="str">
        <f>IF(calculation!W50,'Round 1'!Y11,text!B84&amp;" "&amp;text!B86&amp;" F")</f>
        <v>Paraguay</v>
      </c>
      <c r="B10" s="42">
        <v>5</v>
      </c>
      <c r="C10" s="23" t="s">
        <v>5</v>
      </c>
      <c r="D10" s="42">
        <v>4</v>
      </c>
      <c r="E10" s="24" t="str">
        <f>IF(calculation!W42,'Round 1'!Y4,text!B85&amp;" "&amp;text!B86&amp;" E")</f>
        <v>Jaapan</v>
      </c>
    </row>
    <row r="11" spans="1:5" s="18" customFormat="1" ht="12" customHeight="1">
      <c r="A11" s="22" t="str">
        <f>IF(calculation!W58,'Round 1'!Y19,text!B84&amp;" "&amp;text!B86&amp;" G")</f>
        <v>Brasiilia</v>
      </c>
      <c r="B11" s="42">
        <v>3</v>
      </c>
      <c r="C11" s="23" t="s">
        <v>5</v>
      </c>
      <c r="D11" s="42">
        <v>0</v>
      </c>
      <c r="E11" s="24" t="str">
        <f>IF(calculation!W66,'Round 1'!Y28,text!B85&amp;" "&amp;text!B86&amp;" H")</f>
        <v>Tšiili</v>
      </c>
    </row>
    <row r="12" spans="1:5" s="18" customFormat="1" ht="12" customHeight="1">
      <c r="A12" s="22" t="str">
        <f>IF(calculation!W66,'Round 1'!Y27,text!B84&amp;" "&amp;text!B86&amp;" H")</f>
        <v>Hispaania</v>
      </c>
      <c r="B12" s="42">
        <v>1</v>
      </c>
      <c r="C12" s="23" t="s">
        <v>5</v>
      </c>
      <c r="D12" s="42">
        <v>0</v>
      </c>
      <c r="E12" s="24" t="str">
        <f>IF(calculation!W58,'Round 1'!Y20,text!B85&amp;" "&amp;text!B86&amp;" G")</f>
        <v>Portugal</v>
      </c>
    </row>
    <row r="13" spans="1:5" s="18" customFormat="1" ht="12" customHeight="1">
      <c r="A13" s="22"/>
      <c r="B13" s="21"/>
      <c r="C13" s="21"/>
      <c r="D13" s="21"/>
      <c r="E13" s="21"/>
    </row>
    <row r="14" spans="1:5" s="18" customFormat="1" ht="18" customHeight="1">
      <c r="A14" s="116" t="str">
        <f>text!B79</f>
        <v>veerand_finaal</v>
      </c>
      <c r="B14" s="116"/>
      <c r="C14" s="116"/>
      <c r="D14" s="116"/>
      <c r="E14" s="116"/>
    </row>
    <row r="15" spans="1:5" s="18" customFormat="1" ht="12" customHeight="1">
      <c r="A15" s="22" t="str">
        <f>IF(OR(ISBLANK(B5),ISBLANK(D5)),text!B84&amp;" "&amp;text!B87&amp;" 49",IF(B5&gt;D5,A5,E5))</f>
        <v>Uruguai</v>
      </c>
      <c r="B15" s="41">
        <v>4</v>
      </c>
      <c r="C15" s="23" t="s">
        <v>5</v>
      </c>
      <c r="D15" s="41">
        <v>3</v>
      </c>
      <c r="E15" s="24" t="str">
        <f>IF(OR(ISBLANK(B7),ISBLANK(D7)),text!B84&amp;" "&amp;text!B87&amp;" 50",IF(B7&gt;D7,A7,E7))</f>
        <v>Ghaana</v>
      </c>
    </row>
    <row r="16" spans="1:5" s="18" customFormat="1" ht="12" customHeight="1">
      <c r="A16" s="22" t="str">
        <f>IF(OR(ISBLANK(B9),ISBLANK(D9)),text!B84&amp;" "&amp;text!B87&amp;" 53",IF(B9&gt;D9,A9,E9))</f>
        <v>Holland</v>
      </c>
      <c r="B16" s="42">
        <v>2</v>
      </c>
      <c r="C16" s="23" t="s">
        <v>5</v>
      </c>
      <c r="D16" s="42">
        <v>1</v>
      </c>
      <c r="E16" s="24" t="str">
        <f>IF(OR(ISBLANK(B11),ISBLANK(D11)),text!B84&amp;" "&amp;text!B87&amp;" 54",IF(B11&gt;D11,A11,E11))</f>
        <v>Brasiilia</v>
      </c>
    </row>
    <row r="17" spans="1:5" s="18" customFormat="1" ht="12" customHeight="1">
      <c r="A17" s="22" t="str">
        <f>IF(OR(ISBLANK(B6),ISBLANK(D6)),text!B84&amp;" "&amp;text!B87&amp;" 51",IF(B6&gt;D6,A6,E6))</f>
        <v>Argentiina</v>
      </c>
      <c r="B17" s="42">
        <v>0</v>
      </c>
      <c r="C17" s="23" t="s">
        <v>5</v>
      </c>
      <c r="D17" s="42">
        <v>4</v>
      </c>
      <c r="E17" s="24" t="str">
        <f>IF(OR(ISBLANK(B8),ISBLANK(D8)),text!B84&amp;" "&amp;text!B87&amp;" 52",IF(B8&gt;D8,A8,E8))</f>
        <v>Saksamaa</v>
      </c>
    </row>
    <row r="18" spans="1:5" s="18" customFormat="1" ht="12" customHeight="1">
      <c r="A18" s="22" t="str">
        <f>IF(OR(ISBLANK(B10),ISBLANK(D10)),text!B84&amp;" "&amp;text!B87&amp;" 55",IF(B10&gt;D10,A10,E10))</f>
        <v>Paraguay</v>
      </c>
      <c r="B18" s="42">
        <v>0</v>
      </c>
      <c r="C18" s="23" t="s">
        <v>5</v>
      </c>
      <c r="D18" s="42">
        <v>1</v>
      </c>
      <c r="E18" s="24" t="str">
        <f>IF(OR(ISBLANK(B12),ISBLANK(D12)),text!B84&amp;" "&amp;text!B87&amp;" 56",IF(B12&gt;D12,A12,E12))</f>
        <v>Hispaania</v>
      </c>
    </row>
    <row r="19" spans="1:5" s="18" customFormat="1" ht="12" customHeight="1">
      <c r="A19" s="21"/>
      <c r="B19" s="21"/>
      <c r="C19" s="21"/>
      <c r="D19" s="21"/>
      <c r="E19" s="21"/>
    </row>
    <row r="20" spans="1:5" s="18" customFormat="1" ht="18" customHeight="1">
      <c r="A20" s="116" t="str">
        <f>text!B80</f>
        <v>Pool_finaal</v>
      </c>
      <c r="B20" s="116"/>
      <c r="C20" s="116"/>
      <c r="D20" s="116"/>
      <c r="E20" s="116"/>
    </row>
    <row r="21" spans="1:5" s="18" customFormat="1" ht="12" customHeight="1">
      <c r="A21" s="22" t="str">
        <f>IF(OR(ISBLANK(B15),ISBLANK(D15)),text!B84&amp;" "&amp;text!B87&amp;" 57",IF(B15&gt;D15,A15,E15))</f>
        <v>Uruguai</v>
      </c>
      <c r="B21" s="41">
        <v>2</v>
      </c>
      <c r="C21" s="23" t="s">
        <v>5</v>
      </c>
      <c r="D21" s="41">
        <v>3</v>
      </c>
      <c r="E21" s="24" t="str">
        <f>IF(OR(ISBLANK(B16),ISBLANK(D16)),text!B84&amp;" "&amp;text!B87&amp;" 58",IF(B16&gt;D16,A16,E16))</f>
        <v>Holland</v>
      </c>
    </row>
    <row r="22" spans="1:5" s="18" customFormat="1" ht="12" customHeight="1">
      <c r="A22" s="22" t="str">
        <f>IF(OR(ISBLANK(B17),ISBLANK(D17)),text!B84&amp;" "&amp;text!B87&amp;" 59",IF(B17&gt;D17,A17,E17))</f>
        <v>Saksamaa</v>
      </c>
      <c r="B22" s="42">
        <v>0</v>
      </c>
      <c r="C22" s="23" t="s">
        <v>5</v>
      </c>
      <c r="D22" s="42">
        <v>1</v>
      </c>
      <c r="E22" s="24" t="str">
        <f>IF(OR(ISBLANK(B18),ISBLANK(D18)),text!B84&amp;" "&amp;text!B87&amp;" 60",IF(B18&gt;D18,A18,E18))</f>
        <v>Hispaania</v>
      </c>
    </row>
    <row r="23" spans="1:5" s="18" customFormat="1" ht="12" customHeight="1">
      <c r="A23" s="21"/>
      <c r="B23" s="21"/>
      <c r="C23" s="21"/>
      <c r="D23" s="21"/>
      <c r="E23" s="21"/>
    </row>
    <row r="24" spans="1:5" s="18" customFormat="1" ht="18" customHeight="1">
      <c r="A24" s="116" t="str">
        <f>text!B81</f>
        <v>Kolmas koht</v>
      </c>
      <c r="B24" s="116"/>
      <c r="C24" s="116"/>
      <c r="D24" s="116"/>
      <c r="E24" s="116"/>
    </row>
    <row r="25" spans="1:5" s="18" customFormat="1" ht="12" customHeight="1">
      <c r="A25" s="22" t="str">
        <f>IF(OR(ISBLANK(B21),ISBLANK(D21)),text!B85&amp;" "&amp;text!B87&amp;" 61",IF(B21&lt;D21,A21,E21))</f>
        <v>Uruguai</v>
      </c>
      <c r="B25" s="41">
        <v>2</v>
      </c>
      <c r="C25" s="23" t="s">
        <v>5</v>
      </c>
      <c r="D25" s="41">
        <v>3</v>
      </c>
      <c r="E25" s="24" t="str">
        <f>IF(OR(ISBLANK(B22),ISBLANK(D22)),text!B85&amp;" "&amp;text!B87&amp;" 62",IF(B22&lt;D22,A22,E22))</f>
        <v>Saksamaa</v>
      </c>
    </row>
    <row r="26" spans="1:5" s="18" customFormat="1" ht="12" customHeight="1">
      <c r="A26" s="21"/>
      <c r="B26" s="21"/>
      <c r="C26" s="21"/>
      <c r="D26" s="21"/>
      <c r="E26" s="21"/>
    </row>
    <row r="27" spans="1:5" s="18" customFormat="1" ht="18" customHeight="1">
      <c r="A27" s="116" t="str">
        <f>text!B82</f>
        <v>Finaal</v>
      </c>
      <c r="B27" s="116"/>
      <c r="C27" s="116"/>
      <c r="D27" s="116"/>
      <c r="E27" s="116"/>
    </row>
    <row r="28" spans="1:5" s="18" customFormat="1" ht="12" customHeight="1">
      <c r="A28" s="22" t="str">
        <f>IF(OR(ISBLANK(B21),ISBLANK(D21)),text!B84&amp;" "&amp;text!B87&amp;" 61",IF(B21&gt;D21,A21,E21))</f>
        <v>Holland</v>
      </c>
      <c r="B28" s="41">
        <v>0</v>
      </c>
      <c r="C28" s="23" t="s">
        <v>5</v>
      </c>
      <c r="D28" s="41">
        <v>1</v>
      </c>
      <c r="E28" s="24" t="str">
        <f>IF(OR(ISBLANK(B22),ISBLANK(D22)),text!B84&amp;" "&amp;text!B87&amp;" 62",IF(B22&gt;D22,A22,E22))</f>
        <v>Hispaania</v>
      </c>
    </row>
    <row r="29" spans="1:5" s="18" customFormat="1" ht="12" customHeight="1">
      <c r="A29" s="21"/>
      <c r="B29" s="21"/>
      <c r="C29" s="21"/>
      <c r="D29" s="21"/>
      <c r="E29" s="21"/>
    </row>
    <row r="30" spans="1:5" s="19" customFormat="1" ht="15.75" customHeight="1">
      <c r="A30" s="117" t="str">
        <f>text!B83</f>
        <v>Maailmameister</v>
      </c>
      <c r="B30" s="118"/>
      <c r="C30" s="118"/>
      <c r="D30" s="118"/>
      <c r="E30" s="118"/>
    </row>
    <row r="31" spans="1:5" s="19" customFormat="1" ht="15.75" customHeight="1">
      <c r="A31" s="119"/>
      <c r="B31" s="120"/>
      <c r="C31" s="120"/>
      <c r="D31" s="120"/>
      <c r="E31" s="120"/>
    </row>
    <row r="32" spans="1:5" s="19" customFormat="1" ht="15.75" customHeight="1">
      <c r="A32" s="121" t="str">
        <f>IF(OR(ISBLANK(B28),ISBLANK(D28)),"",IF(B28&gt;D28,A28,E28))</f>
        <v>Hispaania</v>
      </c>
      <c r="B32" s="122"/>
      <c r="C32" s="122"/>
      <c r="D32" s="122"/>
      <c r="E32" s="122"/>
    </row>
    <row r="33" spans="1:5" s="19" customFormat="1" ht="45" customHeight="1">
      <c r="A33" s="121"/>
      <c r="B33" s="122"/>
      <c r="C33" s="122"/>
      <c r="D33" s="122"/>
      <c r="E33" s="122"/>
    </row>
    <row r="34" spans="1:5" ht="10.5">
      <c r="A34" s="39"/>
      <c r="B34" s="39"/>
      <c r="C34" s="39"/>
      <c r="D34" s="39"/>
      <c r="E34" s="40"/>
    </row>
  </sheetData>
  <sheetProtection selectLockedCells="1"/>
  <mergeCells count="8">
    <mergeCell ref="A27:E27"/>
    <mergeCell ref="A30:E31"/>
    <mergeCell ref="A32:E33"/>
    <mergeCell ref="A1:E1"/>
    <mergeCell ref="A4:E4"/>
    <mergeCell ref="A14:E14"/>
    <mergeCell ref="A20:E20"/>
    <mergeCell ref="A24:E24"/>
  </mergeCells>
  <dataValidations count="1">
    <dataValidation type="whole" operator="greaterThanOrEqual" allowBlank="1" showErrorMessage="1" sqref="B15:B18 B28 D28 D25 B25 D21:D22 B21:B22 D15:D18 B5:B12 D5:D12">
      <formula1>0</formula1>
    </dataValidation>
  </dataValidations>
  <printOptions horizontalCentered="1"/>
  <pageMargins left="0.5" right="0.5" top="0.5" bottom="0.5" header="0.5" footer="0.4921259845"/>
  <pageSetup fitToHeight="1" fitToWidth="1" horizontalDpi="600" verticalDpi="600" orientation="portrait" r:id="rId1"/>
  <headerFooter alignWithMargins="0">
    <oddFooter>&amp;L&amp;"Tahoma,Regular"&amp;8This template and many others can be downloaded from Office Online for free!&amp;R&amp;"Tahoma,Regular"&amp;8http://office.microsoft.com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DC67"/>
  <sheetViews>
    <sheetView zoomScalePageLayoutView="0" workbookViewId="0" topLeftCell="S1">
      <selection activeCell="AQ23" sqref="AG23:AQ31"/>
    </sheetView>
  </sheetViews>
  <sheetFormatPr defaultColWidth="11.421875" defaultRowHeight="12.75"/>
  <cols>
    <col min="1" max="1" width="17.140625" style="47" bestFit="1" customWidth="1"/>
    <col min="2" max="3" width="5.00390625" style="47" customWidth="1"/>
    <col min="4" max="4" width="17.140625" style="47" bestFit="1" customWidth="1"/>
    <col min="5" max="6" width="0.71875" style="11" customWidth="1"/>
    <col min="7" max="7" width="7.140625" style="11" customWidth="1"/>
    <col min="8" max="8" width="4.00390625" style="11" bestFit="1" customWidth="1"/>
    <col min="9" max="10" width="3.57421875" style="11" customWidth="1"/>
    <col min="11" max="11" width="4.00390625" style="11" bestFit="1" customWidth="1"/>
    <col min="12" max="13" width="0.71875" style="11" customWidth="1"/>
    <col min="14" max="14" width="7.28125" style="11" customWidth="1"/>
    <col min="15" max="18" width="4.140625" style="47" bestFit="1" customWidth="1"/>
    <col min="19" max="20" width="0.71875" style="11" customWidth="1"/>
    <col min="21" max="21" width="2.57421875" style="47" customWidth="1"/>
    <col min="22" max="22" width="24.00390625" style="47" bestFit="1" customWidth="1"/>
    <col min="23" max="23" width="9.28125" style="47" bestFit="1" customWidth="1"/>
    <col min="24" max="24" width="4.57421875" style="47" bestFit="1" customWidth="1"/>
    <col min="25" max="25" width="4.28125" style="47" bestFit="1" customWidth="1"/>
    <col min="26" max="26" width="4.421875" style="47" bestFit="1" customWidth="1"/>
    <col min="27" max="27" width="4.28125" style="47" bestFit="1" customWidth="1"/>
    <col min="28" max="28" width="0.71875" style="47" customWidth="1"/>
    <col min="29" max="29" width="0.71875" style="11" customWidth="1"/>
    <col min="30" max="30" width="11.8515625" style="11" bestFit="1" customWidth="1"/>
    <col min="31" max="32" width="0.71875" style="11" customWidth="1"/>
    <col min="33" max="33" width="18.421875" style="11" customWidth="1"/>
    <col min="34" max="34" width="8.57421875" style="47" customWidth="1"/>
    <col min="35" max="35" width="3.57421875" style="47" customWidth="1"/>
    <col min="36" max="37" width="0.71875" style="47" customWidth="1"/>
    <col min="38" max="38" width="9.28125" style="47" customWidth="1"/>
    <col min="39" max="39" width="9.7109375" style="47" customWidth="1"/>
    <col min="40" max="40" width="8.00390625" style="11" bestFit="1" customWidth="1"/>
    <col min="41" max="42" width="0.71875" style="47" customWidth="1"/>
    <col min="43" max="43" width="6.140625" style="47" customWidth="1"/>
    <col min="44" max="44" width="5.28125" style="11" bestFit="1" customWidth="1"/>
    <col min="45" max="45" width="8.140625" style="11" bestFit="1" customWidth="1"/>
    <col min="46" max="46" width="6.57421875" style="47" bestFit="1" customWidth="1"/>
    <col min="47" max="47" width="7.7109375" style="47" customWidth="1"/>
    <col min="48" max="49" width="0.71875" style="47" customWidth="1"/>
    <col min="50" max="50" width="16.00390625" style="11" customWidth="1"/>
    <col min="51" max="51" width="4.140625" style="11" bestFit="1" customWidth="1"/>
    <col min="52" max="53" width="4.140625" style="47" bestFit="1" customWidth="1"/>
    <col min="54" max="54" width="4.8515625" style="47" bestFit="1" customWidth="1"/>
    <col min="55" max="55" width="3.140625" style="47" customWidth="1"/>
    <col min="56" max="56" width="2.7109375" style="47" customWidth="1"/>
    <col min="57" max="57" width="2.8515625" style="47" customWidth="1"/>
    <col min="58" max="58" width="13.28125" style="47" customWidth="1"/>
    <col min="59" max="59" width="9.28125" style="47" customWidth="1"/>
    <col min="60" max="77" width="11.421875" style="47" customWidth="1"/>
    <col min="78" max="79" width="11.421875" style="11" customWidth="1"/>
    <col min="80" max="88" width="11.421875" style="47" customWidth="1"/>
    <col min="89" max="90" width="11.421875" style="11" customWidth="1"/>
    <col min="91" max="92" width="11.421875" style="47" customWidth="1"/>
    <col min="93" max="97" width="11.421875" style="11" customWidth="1"/>
    <col min="98" max="100" width="11.421875" style="47" customWidth="1"/>
    <col min="101" max="107" width="11.421875" style="11" customWidth="1"/>
    <col min="108" max="16384" width="11.421875" style="47" customWidth="1"/>
  </cols>
  <sheetData>
    <row r="1" spans="1:50" s="45" customFormat="1" ht="11.25" thickBot="1">
      <c r="A1" s="126" t="s">
        <v>20</v>
      </c>
      <c r="B1" s="126"/>
      <c r="C1" s="126"/>
      <c r="D1" s="126"/>
      <c r="E1" s="44"/>
      <c r="F1" s="43"/>
      <c r="G1" s="126" t="s">
        <v>2</v>
      </c>
      <c r="H1" s="126"/>
      <c r="I1" s="126"/>
      <c r="J1" s="126"/>
      <c r="K1" s="126"/>
      <c r="L1" s="44"/>
      <c r="M1" s="43"/>
      <c r="N1" s="126" t="s">
        <v>3</v>
      </c>
      <c r="O1" s="126"/>
      <c r="P1" s="126"/>
      <c r="Q1" s="126"/>
      <c r="R1" s="126"/>
      <c r="S1" s="44"/>
      <c r="T1" s="43"/>
      <c r="V1" s="45" t="s">
        <v>49</v>
      </c>
      <c r="AB1" s="44"/>
      <c r="AC1" s="43"/>
      <c r="AD1" s="43" t="s">
        <v>19</v>
      </c>
      <c r="AE1" s="44"/>
      <c r="AF1" s="43"/>
      <c r="AJ1" s="44"/>
      <c r="AK1" s="43"/>
      <c r="AL1" s="45" t="s">
        <v>50</v>
      </c>
      <c r="AO1" s="44"/>
      <c r="AP1" s="43"/>
      <c r="AQ1" s="45" t="s">
        <v>51</v>
      </c>
      <c r="AV1" s="44"/>
      <c r="AW1" s="43"/>
      <c r="AX1" s="45" t="s">
        <v>52</v>
      </c>
    </row>
    <row r="2" spans="5:49" s="4" customFormat="1" ht="21">
      <c r="E2" s="46"/>
      <c r="F2" s="11"/>
      <c r="G2" s="5"/>
      <c r="H2" s="5"/>
      <c r="I2" s="5"/>
      <c r="J2" s="5"/>
      <c r="K2" s="11"/>
      <c r="L2" s="46"/>
      <c r="M2" s="11"/>
      <c r="N2" s="5"/>
      <c r="R2" s="47"/>
      <c r="S2" s="46"/>
      <c r="T2" s="11"/>
      <c r="AB2" s="46"/>
      <c r="AC2" s="11"/>
      <c r="AD2" s="5"/>
      <c r="AE2" s="46"/>
      <c r="AF2" s="11"/>
      <c r="AJ2" s="46"/>
      <c r="AK2" s="11"/>
      <c r="AL2" s="11"/>
      <c r="AM2" s="48"/>
      <c r="AO2" s="46"/>
      <c r="AP2" s="11"/>
      <c r="AQ2" s="55"/>
      <c r="AR2" s="56" t="s">
        <v>3</v>
      </c>
      <c r="AS2" s="56" t="s">
        <v>9</v>
      </c>
      <c r="AT2" s="56" t="s">
        <v>8</v>
      </c>
      <c r="AU2" s="54" t="s">
        <v>53</v>
      </c>
      <c r="AV2" s="46"/>
      <c r="AW2" s="11"/>
    </row>
    <row r="3" spans="5:57" s="50" customFormat="1" ht="32.25" thickBot="1">
      <c r="E3" s="51"/>
      <c r="F3" s="52"/>
      <c r="G3" s="52"/>
      <c r="H3" s="52"/>
      <c r="I3" s="52"/>
      <c r="J3" s="52"/>
      <c r="K3" s="52"/>
      <c r="L3" s="51"/>
      <c r="M3" s="52"/>
      <c r="N3" s="52"/>
      <c r="S3" s="51"/>
      <c r="T3" s="52"/>
      <c r="AB3" s="51"/>
      <c r="AC3" s="52"/>
      <c r="AD3" s="52"/>
      <c r="AE3" s="51"/>
      <c r="AF3" s="52"/>
      <c r="AG3" s="53" t="s">
        <v>54</v>
      </c>
      <c r="AH3" s="53" t="s">
        <v>55</v>
      </c>
      <c r="AJ3" s="51"/>
      <c r="AK3" s="52"/>
      <c r="AL3" s="53" t="s">
        <v>56</v>
      </c>
      <c r="AM3" s="53" t="s">
        <v>21</v>
      </c>
      <c r="AN3" s="53" t="s">
        <v>53</v>
      </c>
      <c r="AO3" s="51"/>
      <c r="AP3" s="52"/>
      <c r="AQ3" s="53" t="s">
        <v>57</v>
      </c>
      <c r="AR3" s="127" t="s">
        <v>58</v>
      </c>
      <c r="AS3" s="127"/>
      <c r="AT3" s="127"/>
      <c r="AU3" s="53"/>
      <c r="AV3" s="51"/>
      <c r="AW3" s="52"/>
      <c r="AX3" s="50" t="s">
        <v>59</v>
      </c>
      <c r="AY3" s="128" t="s">
        <v>4</v>
      </c>
      <c r="AZ3" s="128"/>
      <c r="BA3" s="128"/>
      <c r="BB3" s="45" t="s">
        <v>18</v>
      </c>
      <c r="BC3" s="127" t="s">
        <v>60</v>
      </c>
      <c r="BD3" s="127"/>
      <c r="BE3" s="127"/>
    </row>
    <row r="4" spans="1:107" ht="10.5">
      <c r="A4" s="10" t="str">
        <f>text!B2</f>
        <v>GROUP A</v>
      </c>
      <c r="E4" s="46"/>
      <c r="L4" s="46"/>
      <c r="S4" s="46"/>
      <c r="AB4" s="46"/>
      <c r="AE4" s="46"/>
      <c r="AG4" s="49"/>
      <c r="AH4" s="49"/>
      <c r="AJ4" s="46"/>
      <c r="AK4" s="11"/>
      <c r="AL4" s="49"/>
      <c r="AM4" s="49"/>
      <c r="AN4" s="49"/>
      <c r="AO4" s="46"/>
      <c r="AP4" s="11"/>
      <c r="AQ4" s="49"/>
      <c r="AR4" s="124"/>
      <c r="AS4" s="124"/>
      <c r="AT4" s="124"/>
      <c r="AU4" s="49"/>
      <c r="AV4" s="46"/>
      <c r="AW4" s="11"/>
      <c r="AX4" s="47"/>
      <c r="AY4" s="125"/>
      <c r="AZ4" s="125"/>
      <c r="BA4" s="125"/>
      <c r="BB4" s="105"/>
      <c r="BC4" s="124"/>
      <c r="BD4" s="124"/>
      <c r="BE4" s="124"/>
      <c r="BZ4" s="47"/>
      <c r="CA4" s="47"/>
      <c r="CK4" s="47"/>
      <c r="CL4" s="47"/>
      <c r="CO4" s="47"/>
      <c r="CP4" s="47"/>
      <c r="CQ4" s="47"/>
      <c r="CR4" s="47"/>
      <c r="CS4" s="47"/>
      <c r="CW4" s="47"/>
      <c r="CX4" s="47"/>
      <c r="CY4" s="47"/>
      <c r="CZ4" s="47"/>
      <c r="DA4" s="47"/>
      <c r="DB4" s="47"/>
      <c r="DC4" s="47"/>
    </row>
    <row r="5" spans="1:50" s="4" customFormat="1" ht="21">
      <c r="A5" s="57" t="str">
        <f>'Round 1'!A2</f>
        <v>Lõuna Aafrika Vabariik</v>
      </c>
      <c r="B5" s="58">
        <f>IF(ISNUMBER('Round 1'!D2),'Round 1'!D2,"")</f>
        <v>1</v>
      </c>
      <c r="C5" s="58">
        <f>IF(ISNUMBER('Round 1'!F2),'Round 1'!F2,"")</f>
        <v>1</v>
      </c>
      <c r="D5" s="59" t="str">
        <f>'Round 1'!C2</f>
        <v>Mehhiko</v>
      </c>
      <c r="E5" s="60"/>
      <c r="F5" s="61"/>
      <c r="G5" s="62">
        <f>SUM(H6:K9)</f>
        <v>11</v>
      </c>
      <c r="H5" s="63" t="str">
        <f>text!A3</f>
        <v>LAV</v>
      </c>
      <c r="I5" s="64" t="str">
        <f>text!A4</f>
        <v>MEX</v>
      </c>
      <c r="J5" s="64" t="str">
        <f>text!A5</f>
        <v>URU</v>
      </c>
      <c r="K5" s="65" t="str">
        <f>text!A6</f>
        <v>FRA</v>
      </c>
      <c r="L5" s="60"/>
      <c r="M5" s="61"/>
      <c r="N5" s="62">
        <f>SUM(O6:R9)</f>
        <v>16</v>
      </c>
      <c r="O5" s="63" t="str">
        <f>text!A3</f>
        <v>LAV</v>
      </c>
      <c r="P5" s="64" t="str">
        <f>text!A4</f>
        <v>MEX</v>
      </c>
      <c r="Q5" s="64" t="str">
        <f>text!A5</f>
        <v>URU</v>
      </c>
      <c r="R5" s="65" t="str">
        <f>text!A6</f>
        <v>FRA</v>
      </c>
      <c r="S5" s="60"/>
      <c r="T5" s="61"/>
      <c r="W5" s="66" t="str">
        <f>text!A$64</f>
        <v>M</v>
      </c>
      <c r="X5" s="67" t="str">
        <f>text!A$65</f>
        <v>Pts</v>
      </c>
      <c r="Y5" s="67" t="str">
        <f>text!A$66</f>
        <v>Löödud</v>
      </c>
      <c r="Z5" s="67" t="str">
        <f>text!A$67</f>
        <v>Sisse</v>
      </c>
      <c r="AA5" s="68" t="str">
        <f>text!A$68</f>
        <v>Vahe</v>
      </c>
      <c r="AB5" s="60"/>
      <c r="AC5" s="61"/>
      <c r="AD5" s="5"/>
      <c r="AE5" s="60"/>
      <c r="AF5" s="61"/>
      <c r="AJ5" s="60"/>
      <c r="AK5" s="61"/>
      <c r="AL5" s="61"/>
      <c r="AM5" s="47"/>
      <c r="AN5" s="47"/>
      <c r="AO5" s="60"/>
      <c r="AP5" s="61"/>
      <c r="AQ5" s="69">
        <f>MATCH(1,AH6:AH9,0)</f>
        <v>1</v>
      </c>
      <c r="AV5" s="60"/>
      <c r="AW5" s="61"/>
      <c r="AX5" s="48"/>
    </row>
    <row r="6" spans="1:59" s="4" customFormat="1" ht="10.5">
      <c r="A6" s="70" t="str">
        <f>'Round 1'!A3</f>
        <v>Uruguai</v>
      </c>
      <c r="B6" s="11">
        <f>IF(ISNUMBER('Round 1'!D3),'Round 1'!D3,"")</f>
        <v>0</v>
      </c>
      <c r="C6" s="11">
        <f>IF(ISNUMBER('Round 1'!F3),'Round 1'!F3,"")</f>
        <v>0</v>
      </c>
      <c r="D6" s="71" t="str">
        <f>'Round 1'!C3</f>
        <v>Prantsusmaa</v>
      </c>
      <c r="E6" s="46"/>
      <c r="F6" s="11"/>
      <c r="G6" s="72" t="str">
        <f>text!A3</f>
        <v>LAV</v>
      </c>
      <c r="H6" s="73"/>
      <c r="I6" s="74">
        <f>B5</f>
        <v>1</v>
      </c>
      <c r="J6" s="74">
        <f>B7</f>
        <v>0</v>
      </c>
      <c r="K6" s="75">
        <f>C9</f>
        <v>2</v>
      </c>
      <c r="L6" s="46"/>
      <c r="M6" s="11"/>
      <c r="N6" s="72" t="str">
        <f>text!A3</f>
        <v>LAV</v>
      </c>
      <c r="O6" s="73"/>
      <c r="P6" s="74">
        <f>IF(AND(ISNUMBER(I6),ISNUMBER(H7)),IF(I6&gt;H7,3,IF(I6=H7,1,0)),0)</f>
        <v>1</v>
      </c>
      <c r="Q6" s="74">
        <f>IF(AND(ISNUMBER(J6),ISNUMBER(H8)),IF(J6&gt;H8,3,IF(J6=H8,1,0)),0)</f>
        <v>0</v>
      </c>
      <c r="R6" s="75">
        <f>IF(AND(ISNUMBER(K6),ISNUMBER(H9)),IF(K6&gt;H9,3,IF(K6=H9,1,0)),0)</f>
        <v>3</v>
      </c>
      <c r="S6" s="46"/>
      <c r="T6" s="11"/>
      <c r="U6" s="4">
        <v>1</v>
      </c>
      <c r="V6" s="76" t="str">
        <f>text!B3</f>
        <v>Lõuna Aafrika Vabariik</v>
      </c>
      <c r="W6" s="77">
        <f>IF(COUNT(H6:K6)=COUNT(H6:H9),COUNT(H6:H9),"")</f>
        <v>3</v>
      </c>
      <c r="X6" s="74">
        <f>SUM(O6:R6)</f>
        <v>4</v>
      </c>
      <c r="Y6" s="74">
        <f>SUM(H6:K6)</f>
        <v>3</v>
      </c>
      <c r="Z6" s="74">
        <f>SUM(H6:H9)</f>
        <v>5</v>
      </c>
      <c r="AA6" s="75">
        <f>Y6-Z6</f>
        <v>-2</v>
      </c>
      <c r="AB6" s="46"/>
      <c r="AC6" s="11"/>
      <c r="AD6" s="78">
        <f>BB6</f>
        <v>3</v>
      </c>
      <c r="AE6" s="46"/>
      <c r="AF6" s="11"/>
      <c r="AG6" s="76">
        <f>X6*10000+AA6*100+Y6</f>
        <v>39803</v>
      </c>
      <c r="AH6" s="76">
        <f>COUNTIF(AG6:AG9,AG6)</f>
        <v>1</v>
      </c>
      <c r="AI6" s="76" t="str">
        <f>IF(AH6=1,"x","")</f>
        <v>x</v>
      </c>
      <c r="AJ6" s="46"/>
      <c r="AK6" s="11"/>
      <c r="AL6" s="79">
        <f>IF(AI6="x",1,IF(AG7=AG6,2,IF(AG8=AG6,3,4)))</f>
        <v>1</v>
      </c>
      <c r="AM6" s="76">
        <f>INDEX(O6:R6,1,AL6)</f>
        <v>0</v>
      </c>
      <c r="AN6" s="80">
        <f>IF(OR(AH10=2,AH10=4),AM6/10,0)</f>
        <v>0</v>
      </c>
      <c r="AO6" s="46"/>
      <c r="AP6" s="11"/>
      <c r="AQ6" s="11"/>
      <c r="AR6" s="77">
        <f>X6-INDEX(O6:R6,1,AQ5)</f>
        <v>4</v>
      </c>
      <c r="AS6" s="76">
        <f>AA6-(INDEX(H6:K6,1,AQ5)-INDEX(H6:H9,AQ5,1))</f>
        <v>-2</v>
      </c>
      <c r="AT6" s="77">
        <f>Y6-INDEX(H6:K6,1,AQ5)</f>
        <v>3</v>
      </c>
      <c r="AU6" s="80">
        <f>IF(OR(AH10&lt;&gt;3,AI6="x"),0,AR6/10+AS6/1000+AT6/100000)</f>
        <v>0</v>
      </c>
      <c r="AV6" s="46"/>
      <c r="AW6" s="11"/>
      <c r="AX6" s="80">
        <f>AG6+AN6+AU6</f>
        <v>39803</v>
      </c>
      <c r="AY6" s="77">
        <f>IF(INDEX(AX6:AX9,U6)&gt;=INDEX(AX6:AX9,U7),U6,U7)</f>
        <v>2</v>
      </c>
      <c r="AZ6" s="74">
        <f>IF(INDEX(AX6:AX9,AY6)&gt;=INDEX(AX6:AX9,AY8),AY6,AY8)</f>
        <v>3</v>
      </c>
      <c r="BA6" s="75">
        <f>IF(INDEX(AX6:AX9,AZ6)&gt;=INDEX(AX6:AX9,AZ9),AZ6,AZ9)</f>
        <v>3</v>
      </c>
      <c r="BB6" s="78">
        <f>MATCH(U6,BA6:BA9,0)</f>
        <v>3</v>
      </c>
      <c r="BC6" s="77">
        <f>COUNTIF(AX6:AX9,AX6)</f>
        <v>1</v>
      </c>
      <c r="BD6" s="75" t="str">
        <f>IF(BC6=1,"x","")</f>
        <v>x</v>
      </c>
      <c r="BE6" s="76">
        <f>(BD6="x")*BB6</f>
        <v>3</v>
      </c>
      <c r="BF6" s="47"/>
      <c r="BG6" s="47"/>
    </row>
    <row r="7" spans="1:59" s="4" customFormat="1" ht="10.5">
      <c r="A7" s="70" t="str">
        <f>'Round 1'!A4</f>
        <v>Lõuna Aafrika Vabariik</v>
      </c>
      <c r="B7" s="11">
        <f>IF(ISNUMBER('Round 1'!D4),'Round 1'!D4,"")</f>
        <v>0</v>
      </c>
      <c r="C7" s="11">
        <f>IF(ISNUMBER('Round 1'!F4),'Round 1'!F4,"")</f>
        <v>3</v>
      </c>
      <c r="D7" s="71" t="str">
        <f>'Round 1'!C4</f>
        <v>Uruguai</v>
      </c>
      <c r="E7" s="46"/>
      <c r="F7" s="11"/>
      <c r="G7" s="81" t="str">
        <f>text!A4</f>
        <v>MEX</v>
      </c>
      <c r="H7" s="82">
        <f>C5</f>
        <v>1</v>
      </c>
      <c r="I7" s="83"/>
      <c r="J7" s="47">
        <f>B10</f>
        <v>0</v>
      </c>
      <c r="K7" s="84">
        <f>C8</f>
        <v>2</v>
      </c>
      <c r="L7" s="46"/>
      <c r="M7" s="11"/>
      <c r="N7" s="81" t="str">
        <f>text!A4</f>
        <v>MEX</v>
      </c>
      <c r="O7" s="82">
        <f>IF(AND(ISNUMBER(H7),ISNUMBER(I6)),IF(H7&gt;I6,3,IF(H7=I6,1,0)),0)</f>
        <v>1</v>
      </c>
      <c r="P7" s="83"/>
      <c r="Q7" s="47">
        <f>IF(AND(ISNUMBER(J7),ISNUMBER(I8)),IF(J7&gt;I8,3,IF(J7=I8,1,0)),0)</f>
        <v>0</v>
      </c>
      <c r="R7" s="84">
        <f>IF(AND(ISNUMBER(K7),ISNUMBER(I9)),IF(K7&gt;I9,3,IF(K7=I9,1,0)),0)</f>
        <v>3</v>
      </c>
      <c r="S7" s="46"/>
      <c r="T7" s="11"/>
      <c r="U7" s="4">
        <v>2</v>
      </c>
      <c r="V7" s="85" t="str">
        <f>text!B4</f>
        <v>Mehhiko</v>
      </c>
      <c r="W7" s="82">
        <f>IF(COUNT(H7:K7)=COUNT(I6:I9),COUNT(I6:I9),"")</f>
        <v>3</v>
      </c>
      <c r="X7" s="47">
        <f>SUM(O7:R7)</f>
        <v>4</v>
      </c>
      <c r="Y7" s="47">
        <f>SUM(H7:K7)</f>
        <v>3</v>
      </c>
      <c r="Z7" s="47">
        <f>SUM(I6:I9)</f>
        <v>2</v>
      </c>
      <c r="AA7" s="84">
        <f>Y7-Z7</f>
        <v>1</v>
      </c>
      <c r="AB7" s="46"/>
      <c r="AC7" s="11"/>
      <c r="AD7" s="86">
        <f>BB7</f>
        <v>2</v>
      </c>
      <c r="AE7" s="46"/>
      <c r="AF7" s="11"/>
      <c r="AG7" s="85">
        <f>X7*10000+AA7*100+Y7</f>
        <v>40103</v>
      </c>
      <c r="AH7" s="85">
        <f>COUNTIF(AG6:AG9,AG7)</f>
        <v>1</v>
      </c>
      <c r="AI7" s="85" t="str">
        <f>IF(AH7=1,"x","")</f>
        <v>x</v>
      </c>
      <c r="AJ7" s="46"/>
      <c r="AK7" s="11"/>
      <c r="AL7" s="87">
        <f>IF(AI7="x",2,IF(AG8=AG7,3,IF(AG9=AG7,4,1)))</f>
        <v>2</v>
      </c>
      <c r="AM7" s="85">
        <f>INDEX(O7:R7,1,AL7)</f>
        <v>0</v>
      </c>
      <c r="AN7" s="88">
        <f>IF(OR(AH10=2,AH10=4),AM7/10,0)</f>
        <v>0</v>
      </c>
      <c r="AO7" s="46"/>
      <c r="AP7" s="11"/>
      <c r="AQ7" s="11"/>
      <c r="AR7" s="82">
        <f>X7-INDEX(O7:R7,1,AQ5)</f>
        <v>3</v>
      </c>
      <c r="AS7" s="85">
        <f>AA7-(INDEX(H7:K7,1,AQ5)-INDEX(I6:I9,AQ5))</f>
        <v>1</v>
      </c>
      <c r="AT7" s="82">
        <f>Y7-INDEX(H7:K7,1,AQ5)</f>
        <v>2</v>
      </c>
      <c r="AU7" s="88">
        <f>IF(OR(AH10&lt;&gt;3,AI7="x"),0,AR7/10+AS7/1000+AT7/100000)</f>
        <v>0</v>
      </c>
      <c r="AV7" s="46"/>
      <c r="AW7" s="11"/>
      <c r="AX7" s="88">
        <f>AG7+AN7+AU7</f>
        <v>40103</v>
      </c>
      <c r="AY7" s="82">
        <f>IF(INDEX(AX6:AX9,U7)&lt;=INDEX(AX6:AX9,U6),U7,U6)</f>
        <v>1</v>
      </c>
      <c r="AZ7" s="47">
        <f>IF(INDEX(AX6:AX9,AY7)&gt;=INDEX(AX6:AX9,AY9),AY7,AY9)</f>
        <v>1</v>
      </c>
      <c r="BA7" s="84">
        <f>IF(INDEX(AX6:AX9,AZ7)&gt;=INDEX(AX6:AX9,AZ8),AZ7,AZ8)</f>
        <v>2</v>
      </c>
      <c r="BB7" s="86">
        <f>MATCH(U7,BA6:BA9,0)</f>
        <v>2</v>
      </c>
      <c r="BC7" s="82">
        <f>COUNTIF(AX6:AX9,AX7)</f>
        <v>1</v>
      </c>
      <c r="BD7" s="84" t="str">
        <f>IF(BC7=1,"x","")</f>
        <v>x</v>
      </c>
      <c r="BE7" s="85">
        <f>(BD7="x")*BB7</f>
        <v>2</v>
      </c>
      <c r="BF7" s="47"/>
      <c r="BG7" s="47"/>
    </row>
    <row r="8" spans="1:59" s="4" customFormat="1" ht="10.5">
      <c r="A8" s="70" t="str">
        <f>'Round 1'!A5</f>
        <v>Prantsusmaa</v>
      </c>
      <c r="B8" s="11">
        <f>IF(ISNUMBER('Round 1'!D5),'Round 1'!D5,"")</f>
        <v>0</v>
      </c>
      <c r="C8" s="11">
        <f>IF(ISNUMBER('Round 1'!F5),'Round 1'!F5,"")</f>
        <v>2</v>
      </c>
      <c r="D8" s="71" t="str">
        <f>'Round 1'!C5</f>
        <v>Mehhiko</v>
      </c>
      <c r="E8" s="46"/>
      <c r="F8" s="11"/>
      <c r="G8" s="81" t="str">
        <f>text!A5</f>
        <v>URU</v>
      </c>
      <c r="H8" s="82">
        <f>C7</f>
        <v>3</v>
      </c>
      <c r="I8" s="47">
        <f>C10</f>
        <v>1</v>
      </c>
      <c r="J8" s="83"/>
      <c r="K8" s="84">
        <f>B6</f>
        <v>0</v>
      </c>
      <c r="L8" s="46"/>
      <c r="M8" s="11"/>
      <c r="N8" s="81" t="str">
        <f>text!A5</f>
        <v>URU</v>
      </c>
      <c r="O8" s="82">
        <f>IF(AND(ISNUMBER(H8),ISNUMBER(J6)),IF(H8&gt;J6,3,IF(H8=J6,1,0)),0)</f>
        <v>3</v>
      </c>
      <c r="P8" s="47">
        <f>IF(AND(ISNUMBER(I8),ISNUMBER(J7)),IF(I8&gt;J7,3,IF(I8=J7,1,0)),0)</f>
        <v>3</v>
      </c>
      <c r="Q8" s="83"/>
      <c r="R8" s="84">
        <f>IF(AND(ISNUMBER(K8),ISNUMBER(J9)),IF(K8&gt;J9,3,IF(K8=J9,1,0)),0)</f>
        <v>1</v>
      </c>
      <c r="S8" s="46"/>
      <c r="T8" s="11"/>
      <c r="U8" s="4">
        <v>3</v>
      </c>
      <c r="V8" s="85" t="str">
        <f>text!B5</f>
        <v>Uruguai</v>
      </c>
      <c r="W8" s="82">
        <f>IF(COUNT(H8:K8)=COUNT(J6:J9),COUNT(J6:J9),"")</f>
        <v>3</v>
      </c>
      <c r="X8" s="47">
        <f>SUM(O8:R8)</f>
        <v>7</v>
      </c>
      <c r="Y8" s="47">
        <f>SUM(H8:K8)</f>
        <v>4</v>
      </c>
      <c r="Z8" s="47">
        <f>SUM(J6:J9)</f>
        <v>0</v>
      </c>
      <c r="AA8" s="84">
        <f>Y8-Z8</f>
        <v>4</v>
      </c>
      <c r="AB8" s="46"/>
      <c r="AC8" s="11"/>
      <c r="AD8" s="86">
        <f>BB8</f>
        <v>1</v>
      </c>
      <c r="AE8" s="46"/>
      <c r="AF8" s="11"/>
      <c r="AG8" s="85">
        <f>X8*10000+AA8*100+Y8</f>
        <v>70404</v>
      </c>
      <c r="AH8" s="85">
        <f>COUNTIF(AG6:AG9,AG8)</f>
        <v>1</v>
      </c>
      <c r="AI8" s="85" t="str">
        <f>IF(AH8=1,"x","")</f>
        <v>x</v>
      </c>
      <c r="AJ8" s="46"/>
      <c r="AK8" s="11"/>
      <c r="AL8" s="87">
        <f>IF(AI8="x",3,IF(AG9=AG8,4,IF(AG7=AG8,2,1)))</f>
        <v>3</v>
      </c>
      <c r="AM8" s="85">
        <f>INDEX(O8:R8,1,AL8)</f>
        <v>0</v>
      </c>
      <c r="AN8" s="88">
        <f>IF(OR(AH10=2,AH10=4),AM8/10,0)</f>
        <v>0</v>
      </c>
      <c r="AO8" s="46"/>
      <c r="AP8" s="11"/>
      <c r="AQ8" s="11"/>
      <c r="AR8" s="82">
        <f>X8-INDEX(O8:R8,1,AQ5)</f>
        <v>4</v>
      </c>
      <c r="AS8" s="85">
        <f>AA8-(INDEX(H8:K8,1,AQ5)-INDEX(J6:J9,AQ5))</f>
        <v>1</v>
      </c>
      <c r="AT8" s="82">
        <f>Y8-INDEX(H8:K8,1,AQ5)</f>
        <v>1</v>
      </c>
      <c r="AU8" s="88">
        <f>IF(OR(AH10&lt;&gt;3,AI8="x"),0,AR8/10+AS8/1000+AT8/100000)</f>
        <v>0</v>
      </c>
      <c r="AV8" s="46"/>
      <c r="AW8" s="11"/>
      <c r="AX8" s="88">
        <f>AG8+AN8+AU8</f>
        <v>70404</v>
      </c>
      <c r="AY8" s="82">
        <f>IF(INDEX(AX6:AX9,U8)&gt;=INDEX(AX6:AX9,U9),U8,U9)</f>
        <v>3</v>
      </c>
      <c r="AZ8" s="47">
        <f>IF(INDEX(AX6:AX9,AY8)&lt;=INDEX(AX6:AX9,AY6),AY8,AY6)</f>
        <v>2</v>
      </c>
      <c r="BA8" s="84">
        <f>IF(INDEX(AX6:AX9,AZ8)&lt;=INDEX(AX6:AX9,AZ7),AZ8,AZ7)</f>
        <v>1</v>
      </c>
      <c r="BB8" s="86">
        <f>MATCH(U8,BA6:BA9,0)</f>
        <v>1</v>
      </c>
      <c r="BC8" s="82">
        <f>COUNTIF(AX6:AX9,AX8)</f>
        <v>1</v>
      </c>
      <c r="BD8" s="84" t="str">
        <f>IF(BC8=1,"x","")</f>
        <v>x</v>
      </c>
      <c r="BE8" s="85">
        <f>(BD8="x")*BB8</f>
        <v>1</v>
      </c>
      <c r="BF8" s="47"/>
      <c r="BG8" s="47"/>
    </row>
    <row r="9" spans="1:59" s="4" customFormat="1" ht="10.5">
      <c r="A9" s="70" t="str">
        <f>'Round 1'!A6</f>
        <v>Prantsusmaa</v>
      </c>
      <c r="B9" s="11">
        <f>IF(ISNUMBER('Round 1'!D6),'Round 1'!D6,"")</f>
        <v>1</v>
      </c>
      <c r="C9" s="11">
        <f>IF(ISNUMBER('Round 1'!F6),'Round 1'!F6,"")</f>
        <v>2</v>
      </c>
      <c r="D9" s="71" t="str">
        <f>'Round 1'!C6</f>
        <v>Lõuna Aafrika Vabariik</v>
      </c>
      <c r="E9" s="89"/>
      <c r="F9" s="47"/>
      <c r="G9" s="90" t="str">
        <f>text!A6</f>
        <v>FRA</v>
      </c>
      <c r="H9" s="91">
        <f>B9</f>
        <v>1</v>
      </c>
      <c r="I9" s="92">
        <f>B8</f>
        <v>0</v>
      </c>
      <c r="J9" s="92">
        <f>C6</f>
        <v>0</v>
      </c>
      <c r="K9" s="93"/>
      <c r="L9" s="89"/>
      <c r="M9" s="47"/>
      <c r="N9" s="90" t="str">
        <f>text!A6</f>
        <v>FRA</v>
      </c>
      <c r="O9" s="91">
        <f>IF(AND(ISNUMBER(H9),ISNUMBER(K6)),IF(H9&gt;K6,3,IF(H9=K6,1,0)),0)</f>
        <v>0</v>
      </c>
      <c r="P9" s="92">
        <f>IF(AND(ISNUMBER(I9),ISNUMBER(K7)),IF(I9&gt;K7,3,IF(I9=K7,1,0)),0)</f>
        <v>0</v>
      </c>
      <c r="Q9" s="92">
        <f>IF(AND(ISNUMBER(J9),ISNUMBER(K8)),IF(J9&gt;K8,3,IF(J9=K8,1,0)),0)</f>
        <v>1</v>
      </c>
      <c r="R9" s="93"/>
      <c r="S9" s="89"/>
      <c r="T9" s="47"/>
      <c r="U9" s="4">
        <v>4</v>
      </c>
      <c r="V9" s="94" t="str">
        <f>text!B6</f>
        <v>Prantsusmaa</v>
      </c>
      <c r="W9" s="91">
        <f>IF(COUNT(H9:K9)=COUNT(K6:K9),COUNT(K6:K9),"")</f>
        <v>3</v>
      </c>
      <c r="X9" s="92">
        <f>SUM(O9:R9)</f>
        <v>1</v>
      </c>
      <c r="Y9" s="92">
        <f>SUM(H9:K9)</f>
        <v>1</v>
      </c>
      <c r="Z9" s="92">
        <f>SUM(K6:K9)</f>
        <v>4</v>
      </c>
      <c r="AA9" s="95">
        <f>Y9-Z9</f>
        <v>-3</v>
      </c>
      <c r="AB9" s="89"/>
      <c r="AC9" s="47"/>
      <c r="AD9" s="96">
        <f>BB9</f>
        <v>4</v>
      </c>
      <c r="AE9" s="89"/>
      <c r="AF9" s="47"/>
      <c r="AG9" s="94">
        <f>X9*10000+AA9*100+Y9</f>
        <v>9701</v>
      </c>
      <c r="AH9" s="94">
        <f>COUNTIF(AG6:AG9,AG9)</f>
        <v>1</v>
      </c>
      <c r="AI9" s="94" t="str">
        <f>IF(AH9=1,"x","")</f>
        <v>x</v>
      </c>
      <c r="AJ9" s="89"/>
      <c r="AK9" s="47"/>
      <c r="AL9" s="97">
        <f>IF(AI9="x",4,IF(AG6=AG9,1,IF(AG7=AG9,2,3)))</f>
        <v>4</v>
      </c>
      <c r="AM9" s="94">
        <f>INDEX(O9:R9,1,AL9)</f>
        <v>0</v>
      </c>
      <c r="AN9" s="98">
        <f>IF(OR(AH10=2,AH10=4),AM9/10,0)</f>
        <v>0</v>
      </c>
      <c r="AO9" s="89"/>
      <c r="AP9" s="47"/>
      <c r="AQ9" s="47"/>
      <c r="AR9" s="91">
        <f>X9-INDEX(O9:R9,1,AQ5)</f>
        <v>1</v>
      </c>
      <c r="AS9" s="94">
        <f>AA9-(INDEX(H9:K9,1,AQ5)-INDEX(K6:K9,AQ5))</f>
        <v>-2</v>
      </c>
      <c r="AT9" s="91">
        <f>Y9-INDEX(H9:K9,1,AQ5)</f>
        <v>0</v>
      </c>
      <c r="AU9" s="98">
        <f>IF(OR(AH10&lt;&gt;3,AI9="x"),0,AR9/10+AS9/1000+AT9/100000)</f>
        <v>0</v>
      </c>
      <c r="AV9" s="89"/>
      <c r="AW9" s="47"/>
      <c r="AX9" s="98">
        <f>AG9+AN9+AU9</f>
        <v>9701</v>
      </c>
      <c r="AY9" s="91">
        <f>IF(INDEX(AX6:AX9,U9)&lt;=INDEX(AX6:AX9,U8),U9,U8)</f>
        <v>4</v>
      </c>
      <c r="AZ9" s="92">
        <f>IF(INDEX(AX6:AX9,AY9)&lt;=INDEX(AX6:AX9,AY7),AY9,AY7)</f>
        <v>4</v>
      </c>
      <c r="BA9" s="95">
        <f>IF(INDEX(AX6:AX9,AZ9)&lt;=INDEX(AX6:AX9,AZ6),AZ9,AZ6)</f>
        <v>4</v>
      </c>
      <c r="BB9" s="96">
        <f>MATCH(U9,BA6:BA9,0)</f>
        <v>4</v>
      </c>
      <c r="BC9" s="91">
        <f>COUNTIF(AX6:AX9,AX9)</f>
        <v>1</v>
      </c>
      <c r="BD9" s="95" t="str">
        <f>IF(BC9=1,"x","")</f>
        <v>x</v>
      </c>
      <c r="BE9" s="85">
        <f>(BD9="x")*BB9</f>
        <v>4</v>
      </c>
      <c r="BF9" s="47"/>
      <c r="BG9" s="47"/>
    </row>
    <row r="10" spans="1:59" s="4" customFormat="1" ht="10.5">
      <c r="A10" s="99" t="str">
        <f>'Round 1'!A7</f>
        <v>Mehhiko</v>
      </c>
      <c r="B10" s="100">
        <f>IF(ISNUMBER('Round 1'!D7),'Round 1'!D7,"")</f>
        <v>0</v>
      </c>
      <c r="C10" s="100">
        <f>IF(ISNUMBER('Round 1'!F7),'Round 1'!F7,"")</f>
        <v>1</v>
      </c>
      <c r="D10" s="101" t="str">
        <f>'Round 1'!C7</f>
        <v>Uruguai</v>
      </c>
      <c r="E10" s="46"/>
      <c r="F10" s="11"/>
      <c r="G10" s="5"/>
      <c r="H10" s="5"/>
      <c r="I10" s="5"/>
      <c r="J10" s="5"/>
      <c r="K10" s="11"/>
      <c r="L10" s="46"/>
      <c r="M10" s="11"/>
      <c r="N10" s="5"/>
      <c r="R10" s="47"/>
      <c r="S10" s="46"/>
      <c r="T10" s="11"/>
      <c r="V10" s="6" t="s">
        <v>61</v>
      </c>
      <c r="W10" s="4" t="b">
        <f>SUM(W6:W9)=12</f>
        <v>1</v>
      </c>
      <c r="AB10" s="46"/>
      <c r="AC10" s="11"/>
      <c r="AD10" s="96" t="str">
        <f>BF10</f>
        <v>ranking clear</v>
      </c>
      <c r="AE10" s="46"/>
      <c r="AF10" s="11"/>
      <c r="AG10" s="102" t="s">
        <v>62</v>
      </c>
      <c r="AH10" s="103">
        <f>MOD(MIN(AH6:AH9)*MAX(AH6:AH9),11)</f>
        <v>1</v>
      </c>
      <c r="AJ10" s="46"/>
      <c r="AK10" s="11"/>
      <c r="AL10" s="11"/>
      <c r="AM10" s="47"/>
      <c r="AN10" s="47"/>
      <c r="AO10" s="46"/>
      <c r="AP10" s="11"/>
      <c r="AQ10" s="11"/>
      <c r="AV10" s="46"/>
      <c r="AW10" s="11"/>
      <c r="BD10" s="104">
        <f>COUNTIF(BD6:BD9,"x")</f>
        <v>4</v>
      </c>
      <c r="BE10" s="103">
        <f>SUM(BE6:BE9)</f>
        <v>10</v>
      </c>
      <c r="BF10" s="103" t="str">
        <f>IF(W10,IF(BD10&gt;=3,text!B$71,IF(AND(BD10=2,BE10=3),text!B$72,text!B$73)),"")</f>
        <v>ranking clear</v>
      </c>
      <c r="BG10" s="47"/>
    </row>
    <row r="11" spans="1:107" ht="10.5">
      <c r="A11" s="10"/>
      <c r="E11" s="46"/>
      <c r="L11" s="46"/>
      <c r="S11" s="46"/>
      <c r="AB11" s="46"/>
      <c r="AE11" s="46"/>
      <c r="AG11" s="49"/>
      <c r="AH11" s="49"/>
      <c r="AJ11" s="46"/>
      <c r="AK11" s="11"/>
      <c r="AL11" s="49"/>
      <c r="AM11" s="49"/>
      <c r="AN11" s="49"/>
      <c r="AO11" s="46"/>
      <c r="AP11" s="11"/>
      <c r="AQ11" s="49"/>
      <c r="AR11" s="124"/>
      <c r="AS11" s="124"/>
      <c r="AT11" s="124"/>
      <c r="AU11" s="49"/>
      <c r="AV11" s="46"/>
      <c r="AW11" s="11"/>
      <c r="AX11" s="47"/>
      <c r="AY11" s="125"/>
      <c r="AZ11" s="125"/>
      <c r="BA11" s="125"/>
      <c r="BB11" s="105"/>
      <c r="BC11" s="124"/>
      <c r="BD11" s="124"/>
      <c r="BE11" s="124"/>
      <c r="BZ11" s="47"/>
      <c r="CA11" s="47"/>
      <c r="CK11" s="47"/>
      <c r="CL11" s="47"/>
      <c r="CO11" s="47"/>
      <c r="CP11" s="47"/>
      <c r="CQ11" s="47"/>
      <c r="CR11" s="47"/>
      <c r="CS11" s="47"/>
      <c r="CW11" s="47"/>
      <c r="CX11" s="47"/>
      <c r="CY11" s="47"/>
      <c r="CZ11" s="47"/>
      <c r="DA11" s="47"/>
      <c r="DB11" s="47"/>
      <c r="DC11" s="47"/>
    </row>
    <row r="12" spans="1:107" ht="10.5">
      <c r="A12" s="10" t="str">
        <f>text!B10</f>
        <v>GROUP B</v>
      </c>
      <c r="E12" s="46"/>
      <c r="L12" s="46"/>
      <c r="S12" s="46"/>
      <c r="AB12" s="46"/>
      <c r="AE12" s="46"/>
      <c r="AG12" s="49"/>
      <c r="AH12" s="49"/>
      <c r="AJ12" s="46"/>
      <c r="AK12" s="11"/>
      <c r="AL12" s="49"/>
      <c r="AM12" s="49"/>
      <c r="AN12" s="49"/>
      <c r="AO12" s="46"/>
      <c r="AP12" s="11"/>
      <c r="AQ12" s="49"/>
      <c r="AR12" s="124"/>
      <c r="AS12" s="124"/>
      <c r="AT12" s="124"/>
      <c r="AU12" s="49"/>
      <c r="AV12" s="46"/>
      <c r="AW12" s="11"/>
      <c r="AX12" s="47"/>
      <c r="AY12" s="125"/>
      <c r="AZ12" s="125"/>
      <c r="BA12" s="125"/>
      <c r="BB12" s="105"/>
      <c r="BC12" s="124"/>
      <c r="BD12" s="124"/>
      <c r="BE12" s="124"/>
      <c r="BZ12" s="47"/>
      <c r="CA12" s="47"/>
      <c r="CK12" s="47"/>
      <c r="CL12" s="47"/>
      <c r="CO12" s="47"/>
      <c r="CP12" s="47"/>
      <c r="CQ12" s="47"/>
      <c r="CR12" s="47"/>
      <c r="CS12" s="47"/>
      <c r="CW12" s="47"/>
      <c r="CX12" s="47"/>
      <c r="CY12" s="47"/>
      <c r="CZ12" s="47"/>
      <c r="DA12" s="47"/>
      <c r="DB12" s="47"/>
      <c r="DC12" s="47"/>
    </row>
    <row r="13" spans="1:50" s="4" customFormat="1" ht="21">
      <c r="A13" s="57" t="str">
        <f>'Round 1'!A10</f>
        <v>Lõuna Korea</v>
      </c>
      <c r="B13" s="58">
        <f>IF(ISNUMBER('Round 1'!D10),'Round 1'!D10,"")</f>
        <v>2</v>
      </c>
      <c r="C13" s="58">
        <f>IF(ISNUMBER('Round 1'!F10),'Round 1'!F10,"")</f>
        <v>0</v>
      </c>
      <c r="D13" s="59" t="str">
        <f>'Round 1'!C10</f>
        <v>Kreeka</v>
      </c>
      <c r="E13" s="60"/>
      <c r="F13" s="61"/>
      <c r="G13" s="62">
        <f>SUM(H14:K17)</f>
        <v>18</v>
      </c>
      <c r="H13" s="63" t="str">
        <f>text!A11</f>
        <v>KOR</v>
      </c>
      <c r="I13" s="64" t="str">
        <f>text!A12</f>
        <v>GRE</v>
      </c>
      <c r="J13" s="64" t="str">
        <f>text!A13</f>
        <v>NGA</v>
      </c>
      <c r="K13" s="65" t="str">
        <f>text!A14</f>
        <v>ARG</v>
      </c>
      <c r="L13" s="60"/>
      <c r="M13" s="61"/>
      <c r="N13" s="62">
        <f>SUM(O14:R17)</f>
        <v>17</v>
      </c>
      <c r="O13" s="63" t="str">
        <f>text!A11</f>
        <v>KOR</v>
      </c>
      <c r="P13" s="64" t="str">
        <f>text!A12</f>
        <v>GRE</v>
      </c>
      <c r="Q13" s="64" t="str">
        <f>text!A13</f>
        <v>NGA</v>
      </c>
      <c r="R13" s="65" t="str">
        <f>text!A14</f>
        <v>ARG</v>
      </c>
      <c r="S13" s="60"/>
      <c r="T13" s="61"/>
      <c r="W13" s="66" t="str">
        <f>text!A$64</f>
        <v>M</v>
      </c>
      <c r="X13" s="67" t="str">
        <f>text!A$65</f>
        <v>Pts</v>
      </c>
      <c r="Y13" s="67" t="str">
        <f>text!A$66</f>
        <v>Löödud</v>
      </c>
      <c r="Z13" s="67" t="str">
        <f>text!A$67</f>
        <v>Sisse</v>
      </c>
      <c r="AA13" s="68" t="str">
        <f>text!A$68</f>
        <v>Vahe</v>
      </c>
      <c r="AB13" s="60"/>
      <c r="AC13" s="61"/>
      <c r="AD13" s="5"/>
      <c r="AE13" s="60"/>
      <c r="AF13" s="61"/>
      <c r="AJ13" s="60"/>
      <c r="AK13" s="61"/>
      <c r="AL13" s="61"/>
      <c r="AM13" s="47"/>
      <c r="AN13" s="47"/>
      <c r="AO13" s="60"/>
      <c r="AP13" s="61"/>
      <c r="AQ13" s="69">
        <f>MATCH(1,AH14:AH17,0)</f>
        <v>1</v>
      </c>
      <c r="AV13" s="60"/>
      <c r="AW13" s="61"/>
      <c r="AX13" s="48"/>
    </row>
    <row r="14" spans="1:59" s="4" customFormat="1" ht="10.5">
      <c r="A14" s="70" t="str">
        <f>'Round 1'!A11</f>
        <v>Nigeeria</v>
      </c>
      <c r="B14" s="11">
        <f>IF(ISNUMBER('Round 1'!D11),'Round 1'!D11,"")</f>
        <v>0</v>
      </c>
      <c r="C14" s="11">
        <f>IF(ISNUMBER('Round 1'!F11),'Round 1'!F11,"")</f>
        <v>1</v>
      </c>
      <c r="D14" s="71" t="str">
        <f>'Round 1'!C11</f>
        <v>Argentiina</v>
      </c>
      <c r="E14" s="46"/>
      <c r="F14" s="11"/>
      <c r="G14" s="72" t="str">
        <f>text!A11</f>
        <v>KOR</v>
      </c>
      <c r="H14" s="73"/>
      <c r="I14" s="74">
        <f>B13</f>
        <v>2</v>
      </c>
      <c r="J14" s="74">
        <f>B15</f>
        <v>2</v>
      </c>
      <c r="K14" s="75">
        <f>C17</f>
        <v>1</v>
      </c>
      <c r="L14" s="46"/>
      <c r="M14" s="11"/>
      <c r="N14" s="72" t="str">
        <f>text!A11</f>
        <v>KOR</v>
      </c>
      <c r="O14" s="73"/>
      <c r="P14" s="74">
        <f>IF(AND(ISNUMBER(I14),ISNUMBER(H15)),IF(I14&gt;H15,3,IF(I14=H15,1,0)),0)</f>
        <v>3</v>
      </c>
      <c r="Q14" s="74">
        <f>IF(AND(ISNUMBER(J14),ISNUMBER(H16)),IF(J14&gt;H16,3,IF(J14=H16,1,0)),0)</f>
        <v>1</v>
      </c>
      <c r="R14" s="75">
        <f>IF(AND(ISNUMBER(K14),ISNUMBER(H17)),IF(K14&gt;H17,3,IF(K14=H17,1,0)),0)</f>
        <v>0</v>
      </c>
      <c r="S14" s="46"/>
      <c r="T14" s="11"/>
      <c r="U14" s="4">
        <v>1</v>
      </c>
      <c r="V14" s="76" t="str">
        <f>text!B11</f>
        <v>Lõuna Korea</v>
      </c>
      <c r="W14" s="77">
        <f>IF(COUNT(H14:K14)=COUNT(H14:H17),COUNT(H14:H17),"")</f>
        <v>3</v>
      </c>
      <c r="X14" s="74">
        <f>SUM(O14:R14)</f>
        <v>4</v>
      </c>
      <c r="Y14" s="74">
        <f>SUM(H14:K14)</f>
        <v>5</v>
      </c>
      <c r="Z14" s="74">
        <f>SUM(H14:H17)</f>
        <v>6</v>
      </c>
      <c r="AA14" s="75">
        <f>Y14-Z14</f>
        <v>-1</v>
      </c>
      <c r="AB14" s="46"/>
      <c r="AC14" s="11"/>
      <c r="AD14" s="78">
        <f>BB14</f>
        <v>2</v>
      </c>
      <c r="AE14" s="46"/>
      <c r="AF14" s="11"/>
      <c r="AG14" s="76">
        <f>X14*10000+AA14*100+Y14</f>
        <v>39905</v>
      </c>
      <c r="AH14" s="76">
        <f>COUNTIF(AG14:AG17,AG14)</f>
        <v>1</v>
      </c>
      <c r="AI14" s="76" t="str">
        <f>IF(AH14=1,"x","")</f>
        <v>x</v>
      </c>
      <c r="AJ14" s="46"/>
      <c r="AK14" s="11"/>
      <c r="AL14" s="79">
        <f>IF(AI14="x",1,IF(AG15=AG14,2,IF(AG16=AG14,3,4)))</f>
        <v>1</v>
      </c>
      <c r="AM14" s="76">
        <f>INDEX(O14:R14,1,AL14)</f>
        <v>0</v>
      </c>
      <c r="AN14" s="80">
        <f>IF(OR(AH18=2,AH18=4),AM14/10,0)</f>
        <v>0</v>
      </c>
      <c r="AO14" s="46"/>
      <c r="AP14" s="11"/>
      <c r="AQ14" s="11"/>
      <c r="AR14" s="77">
        <f>X14-INDEX(O14:R14,1,AQ13)</f>
        <v>4</v>
      </c>
      <c r="AS14" s="76">
        <f>AA14-(INDEX(H14:K14,1,AQ13)-INDEX(H14:H17,AQ13,1))</f>
        <v>-1</v>
      </c>
      <c r="AT14" s="77">
        <f>Y14-INDEX(H14:K14,1,AQ13)</f>
        <v>5</v>
      </c>
      <c r="AU14" s="80">
        <f>IF(OR(AH18&lt;&gt;3,AI14="x"),0,AR14/10+AS14/1000+AT14/100000)</f>
        <v>0</v>
      </c>
      <c r="AV14" s="46"/>
      <c r="AW14" s="11"/>
      <c r="AX14" s="80">
        <f>AG14+AN14+AU14</f>
        <v>39905</v>
      </c>
      <c r="AY14" s="77">
        <f>IF(INDEX(AX14:AX17,U14)&gt;=INDEX(AX14:AX17,U15),U14,U15)</f>
        <v>1</v>
      </c>
      <c r="AZ14" s="74">
        <f>IF(INDEX(AX14:AX17,AY14)&gt;=INDEX(AX14:AX17,AY16),AY14,AY16)</f>
        <v>4</v>
      </c>
      <c r="BA14" s="75">
        <f>IF(INDEX(AX14:AX17,AZ14)&gt;=INDEX(AX14:AX17,AZ17),AZ14,AZ17)</f>
        <v>4</v>
      </c>
      <c r="BB14" s="78">
        <f>MATCH(U14,BA14:BA17,0)</f>
        <v>2</v>
      </c>
      <c r="BC14" s="77">
        <f>COUNTIF(AX14:AX17,AX14)</f>
        <v>1</v>
      </c>
      <c r="BD14" s="75" t="str">
        <f>IF(BC14=1,"x","")</f>
        <v>x</v>
      </c>
      <c r="BE14" s="76">
        <f>(BD14="x")*BB14</f>
        <v>2</v>
      </c>
      <c r="BF14" s="47"/>
      <c r="BG14" s="47"/>
    </row>
    <row r="15" spans="1:59" s="4" customFormat="1" ht="10.5">
      <c r="A15" s="70" t="str">
        <f>'Round 1'!A12</f>
        <v>Lõuna Korea</v>
      </c>
      <c r="B15" s="11">
        <f>IF(ISNUMBER('Round 1'!D12),'Round 1'!D12,"")</f>
        <v>2</v>
      </c>
      <c r="C15" s="11">
        <f>IF(ISNUMBER('Round 1'!F12),'Round 1'!F12,"")</f>
        <v>2</v>
      </c>
      <c r="D15" s="71" t="str">
        <f>'Round 1'!C12</f>
        <v>Nigeeria</v>
      </c>
      <c r="E15" s="46"/>
      <c r="F15" s="11"/>
      <c r="G15" s="81" t="str">
        <f>text!A12</f>
        <v>GRE</v>
      </c>
      <c r="H15" s="82">
        <f>C13</f>
        <v>0</v>
      </c>
      <c r="I15" s="83"/>
      <c r="J15" s="47">
        <f>B18</f>
        <v>2</v>
      </c>
      <c r="K15" s="84">
        <f>C16</f>
        <v>1</v>
      </c>
      <c r="L15" s="46"/>
      <c r="M15" s="11"/>
      <c r="N15" s="81" t="str">
        <f>text!A12</f>
        <v>GRE</v>
      </c>
      <c r="O15" s="82">
        <f>IF(AND(ISNUMBER(H15),ISNUMBER(I14)),IF(H15&gt;I14,3,IF(H15=I14,1,0)),0)</f>
        <v>0</v>
      </c>
      <c r="P15" s="83"/>
      <c r="Q15" s="47">
        <f>IF(AND(ISNUMBER(J15),ISNUMBER(I16)),IF(J15&gt;I16,3,IF(J15=I16,1,0)),0)</f>
        <v>3</v>
      </c>
      <c r="R15" s="84">
        <f>IF(AND(ISNUMBER(K15),ISNUMBER(I17)),IF(K15&gt;I17,3,IF(K15=I17,1,0)),0)</f>
        <v>0</v>
      </c>
      <c r="S15" s="46"/>
      <c r="T15" s="11"/>
      <c r="U15" s="4">
        <v>2</v>
      </c>
      <c r="V15" s="85" t="str">
        <f>text!B12</f>
        <v>Kreeka</v>
      </c>
      <c r="W15" s="82">
        <f>IF(COUNT(H15:K15)=COUNT(I14:I17),COUNT(I14:I17),"")</f>
        <v>3</v>
      </c>
      <c r="X15" s="47">
        <f>SUM(O15:R15)</f>
        <v>3</v>
      </c>
      <c r="Y15" s="47">
        <f>SUM(H15:K15)</f>
        <v>3</v>
      </c>
      <c r="Z15" s="47">
        <f>SUM(I14:I17)</f>
        <v>5</v>
      </c>
      <c r="AA15" s="84">
        <f>Y15-Z15</f>
        <v>-2</v>
      </c>
      <c r="AB15" s="46"/>
      <c r="AC15" s="11"/>
      <c r="AD15" s="86">
        <f>BB15</f>
        <v>3</v>
      </c>
      <c r="AE15" s="46"/>
      <c r="AF15" s="11"/>
      <c r="AG15" s="85">
        <f>X15*10000+AA15*100+Y15</f>
        <v>29803</v>
      </c>
      <c r="AH15" s="85">
        <f>COUNTIF(AG14:AG17,AG15)</f>
        <v>1</v>
      </c>
      <c r="AI15" s="85" t="str">
        <f>IF(AH15=1,"x","")</f>
        <v>x</v>
      </c>
      <c r="AJ15" s="46"/>
      <c r="AK15" s="11"/>
      <c r="AL15" s="87">
        <f>IF(AI15="x",2,IF(AG16=AG15,3,IF(AG17=AG15,4,1)))</f>
        <v>2</v>
      </c>
      <c r="AM15" s="85">
        <f>INDEX(O15:R15,1,AL15)</f>
        <v>0</v>
      </c>
      <c r="AN15" s="88">
        <f>IF(OR(AH18=2,AH18=4),AM15/10,0)</f>
        <v>0</v>
      </c>
      <c r="AO15" s="46"/>
      <c r="AP15" s="11"/>
      <c r="AQ15" s="11"/>
      <c r="AR15" s="82">
        <f>X15-INDEX(O15:R15,1,AQ13)</f>
        <v>3</v>
      </c>
      <c r="AS15" s="85">
        <f>AA15-(INDEX(H15:K15,1,AQ13)-INDEX(I14:I17,AQ13))</f>
        <v>0</v>
      </c>
      <c r="AT15" s="82">
        <f>Y15-INDEX(H15:K15,1,AQ13)</f>
        <v>3</v>
      </c>
      <c r="AU15" s="88">
        <f>IF(OR(AH18&lt;&gt;3,AI15="x"),0,AR15/10+AS15/1000+AT15/100000)</f>
        <v>0</v>
      </c>
      <c r="AV15" s="46"/>
      <c r="AW15" s="11"/>
      <c r="AX15" s="88">
        <f>AG15+AN15+AU15</f>
        <v>29803</v>
      </c>
      <c r="AY15" s="82">
        <f>IF(INDEX(AX14:AX17,U15)&lt;=INDEX(AX14:AX17,U14),U15,U14)</f>
        <v>2</v>
      </c>
      <c r="AZ15" s="47">
        <f>IF(INDEX(AX14:AX17,AY15)&gt;=INDEX(AX14:AX17,AY17),AY15,AY17)</f>
        <v>2</v>
      </c>
      <c r="BA15" s="84">
        <f>IF(INDEX(AX14:AX17,AZ15)&gt;=INDEX(AX14:AX17,AZ16),AZ15,AZ16)</f>
        <v>1</v>
      </c>
      <c r="BB15" s="86">
        <f>MATCH(U15,BA14:BA17,0)</f>
        <v>3</v>
      </c>
      <c r="BC15" s="82">
        <f>COUNTIF(AX14:AX17,AX15)</f>
        <v>1</v>
      </c>
      <c r="BD15" s="84" t="str">
        <f>IF(BC15=1,"x","")</f>
        <v>x</v>
      </c>
      <c r="BE15" s="85">
        <f>(BD15="x")*BB15</f>
        <v>3</v>
      </c>
      <c r="BF15" s="47"/>
      <c r="BG15" s="47"/>
    </row>
    <row r="16" spans="1:59" s="4" customFormat="1" ht="10.5">
      <c r="A16" s="70" t="str">
        <f>'Round 1'!A13</f>
        <v>Argentiina</v>
      </c>
      <c r="B16" s="11">
        <f>IF(ISNUMBER('Round 1'!D13),'Round 1'!D13,"")</f>
        <v>2</v>
      </c>
      <c r="C16" s="11">
        <f>IF(ISNUMBER('Round 1'!F13),'Round 1'!F13,"")</f>
        <v>1</v>
      </c>
      <c r="D16" s="71" t="str">
        <f>'Round 1'!C13</f>
        <v>Kreeka</v>
      </c>
      <c r="E16" s="46"/>
      <c r="F16" s="11"/>
      <c r="G16" s="81" t="str">
        <f>text!A13</f>
        <v>NGA</v>
      </c>
      <c r="H16" s="82">
        <f>C15</f>
        <v>2</v>
      </c>
      <c r="I16" s="47">
        <f>C18</f>
        <v>1</v>
      </c>
      <c r="J16" s="83"/>
      <c r="K16" s="84">
        <f>B14</f>
        <v>0</v>
      </c>
      <c r="L16" s="46"/>
      <c r="M16" s="11"/>
      <c r="N16" s="81" t="str">
        <f>text!A13</f>
        <v>NGA</v>
      </c>
      <c r="O16" s="82">
        <f>IF(AND(ISNUMBER(H16),ISNUMBER(J14)),IF(H16&gt;J14,3,IF(H16=J14,1,0)),0)</f>
        <v>1</v>
      </c>
      <c r="P16" s="47">
        <f>IF(AND(ISNUMBER(I16),ISNUMBER(J15)),IF(I16&gt;J15,3,IF(I16=J15,1,0)),0)</f>
        <v>0</v>
      </c>
      <c r="Q16" s="83"/>
      <c r="R16" s="84">
        <f>IF(AND(ISNUMBER(K16),ISNUMBER(J17)),IF(K16&gt;J17,3,IF(K16=J17,1,0)),0)</f>
        <v>0</v>
      </c>
      <c r="S16" s="46"/>
      <c r="T16" s="11"/>
      <c r="U16" s="4">
        <v>3</v>
      </c>
      <c r="V16" s="85" t="str">
        <f>text!B13</f>
        <v>Nigeeria</v>
      </c>
      <c r="W16" s="82">
        <f>IF(COUNT(H16:K16)=COUNT(J14:J17),COUNT(J14:J17),"")</f>
        <v>3</v>
      </c>
      <c r="X16" s="47">
        <f>SUM(O16:R16)</f>
        <v>1</v>
      </c>
      <c r="Y16" s="47">
        <f>SUM(H16:K16)</f>
        <v>3</v>
      </c>
      <c r="Z16" s="47">
        <f>SUM(J14:J17)</f>
        <v>5</v>
      </c>
      <c r="AA16" s="84">
        <f>Y16-Z16</f>
        <v>-2</v>
      </c>
      <c r="AB16" s="46"/>
      <c r="AC16" s="11"/>
      <c r="AD16" s="86">
        <f>BB16</f>
        <v>4</v>
      </c>
      <c r="AE16" s="46"/>
      <c r="AF16" s="11"/>
      <c r="AG16" s="85">
        <f>X16*10000+AA16*100+Y16</f>
        <v>9803</v>
      </c>
      <c r="AH16" s="85">
        <f>COUNTIF(AG14:AG17,AG16)</f>
        <v>1</v>
      </c>
      <c r="AI16" s="85" t="str">
        <f>IF(AH16=1,"x","")</f>
        <v>x</v>
      </c>
      <c r="AJ16" s="46"/>
      <c r="AK16" s="11"/>
      <c r="AL16" s="87">
        <f>IF(AI16="x",3,IF(AG17=AG16,4,IF(AG15=AG16,2,1)))</f>
        <v>3</v>
      </c>
      <c r="AM16" s="85">
        <f>INDEX(O16:R16,1,AL16)</f>
        <v>0</v>
      </c>
      <c r="AN16" s="88">
        <f>IF(OR(AH18=2,AH18=4),AM16/10,0)</f>
        <v>0</v>
      </c>
      <c r="AO16" s="46"/>
      <c r="AP16" s="11"/>
      <c r="AQ16" s="11"/>
      <c r="AR16" s="82">
        <f>X16-INDEX(O16:R16,1,AQ13)</f>
        <v>0</v>
      </c>
      <c r="AS16" s="85">
        <f>AA16-(INDEX(H16:K16,1,AQ13)-INDEX(J14:J17,AQ13))</f>
        <v>-2</v>
      </c>
      <c r="AT16" s="82">
        <f>Y16-INDEX(H16:K16,1,AQ13)</f>
        <v>1</v>
      </c>
      <c r="AU16" s="88">
        <f>IF(OR(AH18&lt;&gt;3,AI16="x"),0,AR16/10+AS16/1000+AT16/100000)</f>
        <v>0</v>
      </c>
      <c r="AV16" s="46"/>
      <c r="AW16" s="11"/>
      <c r="AX16" s="88">
        <f>AG16+AN16+AU16</f>
        <v>9803</v>
      </c>
      <c r="AY16" s="82">
        <f>IF(INDEX(AX14:AX17,U16)&gt;=INDEX(AX14:AX17,U17),U16,U17)</f>
        <v>4</v>
      </c>
      <c r="AZ16" s="47">
        <f>IF(INDEX(AX14:AX17,AY16)&lt;=INDEX(AX14:AX17,AY14),AY16,AY14)</f>
        <v>1</v>
      </c>
      <c r="BA16" s="84">
        <f>IF(INDEX(AX14:AX17,AZ16)&lt;=INDEX(AX14:AX17,AZ15),AZ16,AZ15)</f>
        <v>2</v>
      </c>
      <c r="BB16" s="86">
        <f>MATCH(U16,BA14:BA17,0)</f>
        <v>4</v>
      </c>
      <c r="BC16" s="82">
        <f>COUNTIF(AX14:AX17,AX16)</f>
        <v>1</v>
      </c>
      <c r="BD16" s="84" t="str">
        <f>IF(BC16=1,"x","")</f>
        <v>x</v>
      </c>
      <c r="BE16" s="85">
        <f>(BD16="x")*BB16</f>
        <v>4</v>
      </c>
      <c r="BF16" s="47"/>
      <c r="BG16" s="47"/>
    </row>
    <row r="17" spans="1:59" s="4" customFormat="1" ht="10.5">
      <c r="A17" s="70" t="str">
        <f>'Round 1'!A14</f>
        <v>Argentiina</v>
      </c>
      <c r="B17" s="11">
        <f>IF(ISNUMBER('Round 1'!D14),'Round 1'!D14,"")</f>
        <v>4</v>
      </c>
      <c r="C17" s="11">
        <f>IF(ISNUMBER('Round 1'!F14),'Round 1'!F14,"")</f>
        <v>1</v>
      </c>
      <c r="D17" s="71" t="str">
        <f>'Round 1'!C14</f>
        <v>Lõuna Korea</v>
      </c>
      <c r="E17" s="89"/>
      <c r="F17" s="47"/>
      <c r="G17" s="90" t="str">
        <f>text!A14</f>
        <v>ARG</v>
      </c>
      <c r="H17" s="91">
        <f>B17</f>
        <v>4</v>
      </c>
      <c r="I17" s="92">
        <f>B16</f>
        <v>2</v>
      </c>
      <c r="J17" s="92">
        <f>C14</f>
        <v>1</v>
      </c>
      <c r="K17" s="93"/>
      <c r="L17" s="89"/>
      <c r="M17" s="47"/>
      <c r="N17" s="90" t="str">
        <f>text!A14</f>
        <v>ARG</v>
      </c>
      <c r="O17" s="91">
        <f>IF(AND(ISNUMBER(H17),ISNUMBER(K14)),IF(H17&gt;K14,3,IF(H17=K14,1,0)),0)</f>
        <v>3</v>
      </c>
      <c r="P17" s="92">
        <f>IF(AND(ISNUMBER(I17),ISNUMBER(K15)),IF(I17&gt;K15,3,IF(I17=K15,1,0)),0)</f>
        <v>3</v>
      </c>
      <c r="Q17" s="92">
        <f>IF(AND(ISNUMBER(J17),ISNUMBER(K16)),IF(J17&gt;K16,3,IF(J17=K16,1,0)),0)</f>
        <v>3</v>
      </c>
      <c r="R17" s="93"/>
      <c r="S17" s="89"/>
      <c r="T17" s="47"/>
      <c r="U17" s="4">
        <v>4</v>
      </c>
      <c r="V17" s="94" t="str">
        <f>text!B14</f>
        <v>Argentiina</v>
      </c>
      <c r="W17" s="91">
        <f>IF(COUNT(H17:K17)=COUNT(K14:K17),COUNT(K14:K17),"")</f>
        <v>3</v>
      </c>
      <c r="X17" s="92">
        <f>SUM(O17:R17)</f>
        <v>9</v>
      </c>
      <c r="Y17" s="92">
        <f>SUM(H17:K17)</f>
        <v>7</v>
      </c>
      <c r="Z17" s="92">
        <f>SUM(K14:K17)</f>
        <v>2</v>
      </c>
      <c r="AA17" s="95">
        <f>Y17-Z17</f>
        <v>5</v>
      </c>
      <c r="AB17" s="89"/>
      <c r="AC17" s="47"/>
      <c r="AD17" s="96">
        <f>BB17</f>
        <v>1</v>
      </c>
      <c r="AE17" s="89"/>
      <c r="AF17" s="47"/>
      <c r="AG17" s="94">
        <f>X17*10000+AA17*100+Y17</f>
        <v>90507</v>
      </c>
      <c r="AH17" s="94">
        <f>COUNTIF(AG14:AG17,AG17)</f>
        <v>1</v>
      </c>
      <c r="AI17" s="94" t="str">
        <f>IF(AH17=1,"x","")</f>
        <v>x</v>
      </c>
      <c r="AJ17" s="89"/>
      <c r="AK17" s="47"/>
      <c r="AL17" s="97">
        <f>IF(AI17="x",4,IF(AG14=AG17,1,IF(AG15=AG17,2,3)))</f>
        <v>4</v>
      </c>
      <c r="AM17" s="94">
        <f>INDEX(O17:R17,1,AL17)</f>
        <v>0</v>
      </c>
      <c r="AN17" s="98">
        <f>IF(OR(AH18=2,AH18=4),AM17/10,0)</f>
        <v>0</v>
      </c>
      <c r="AO17" s="89"/>
      <c r="AP17" s="47"/>
      <c r="AQ17" s="47"/>
      <c r="AR17" s="91">
        <f>X17-INDEX(O17:R17,1,AQ13)</f>
        <v>6</v>
      </c>
      <c r="AS17" s="94">
        <f>AA17-(INDEX(H17:K17,1,AQ13)-INDEX(K14:K17,AQ13))</f>
        <v>2</v>
      </c>
      <c r="AT17" s="91">
        <f>Y17-INDEX(H17:K17,1,AQ13)</f>
        <v>3</v>
      </c>
      <c r="AU17" s="98">
        <f>IF(OR(AH18&lt;&gt;3,AI17="x"),0,AR17/10+AS17/1000+AT17/100000)</f>
        <v>0</v>
      </c>
      <c r="AV17" s="89"/>
      <c r="AW17" s="47"/>
      <c r="AX17" s="98">
        <f>AG17+AN17+AU17</f>
        <v>90507</v>
      </c>
      <c r="AY17" s="91">
        <f>IF(INDEX(AX14:AX17,U17)&lt;=INDEX(AX14:AX17,U16),U17,U16)</f>
        <v>3</v>
      </c>
      <c r="AZ17" s="92">
        <f>IF(INDEX(AX14:AX17,AY17)&lt;=INDEX(AX14:AX17,AY15),AY17,AY15)</f>
        <v>3</v>
      </c>
      <c r="BA17" s="95">
        <f>IF(INDEX(AX14:AX17,AZ17)&lt;=INDEX(AX14:AX17,AZ14),AZ17,AZ14)</f>
        <v>3</v>
      </c>
      <c r="BB17" s="96">
        <f>MATCH(U17,BA14:BA17,0)</f>
        <v>1</v>
      </c>
      <c r="BC17" s="91">
        <f>COUNTIF(AX14:AX17,AX17)</f>
        <v>1</v>
      </c>
      <c r="BD17" s="95" t="str">
        <f>IF(BC17=1,"x","")</f>
        <v>x</v>
      </c>
      <c r="BE17" s="85">
        <f>(BD17="x")*BB17</f>
        <v>1</v>
      </c>
      <c r="BF17" s="47"/>
      <c r="BG17" s="47"/>
    </row>
    <row r="18" spans="1:59" s="4" customFormat="1" ht="10.5">
      <c r="A18" s="99" t="str">
        <f>'Round 1'!A15</f>
        <v>Kreeka</v>
      </c>
      <c r="B18" s="100">
        <f>IF(ISNUMBER('Round 1'!D15),'Round 1'!D15,"")</f>
        <v>2</v>
      </c>
      <c r="C18" s="100">
        <f>IF(ISNUMBER('Round 1'!F15),'Round 1'!F15,"")</f>
        <v>1</v>
      </c>
      <c r="D18" s="101" t="str">
        <f>'Round 1'!C15</f>
        <v>Nigeeria</v>
      </c>
      <c r="E18" s="46"/>
      <c r="F18" s="11"/>
      <c r="G18" s="5"/>
      <c r="H18" s="5"/>
      <c r="I18" s="5"/>
      <c r="J18" s="5"/>
      <c r="K18" s="11"/>
      <c r="L18" s="46"/>
      <c r="M18" s="11"/>
      <c r="N18" s="5"/>
      <c r="R18" s="47"/>
      <c r="S18" s="46"/>
      <c r="T18" s="11"/>
      <c r="V18" s="6" t="s">
        <v>61</v>
      </c>
      <c r="W18" s="4" t="b">
        <f>SUM(W14:W17)=12</f>
        <v>1</v>
      </c>
      <c r="AB18" s="46"/>
      <c r="AC18" s="11"/>
      <c r="AD18" s="96" t="str">
        <f>BF18</f>
        <v>ranking clear</v>
      </c>
      <c r="AE18" s="46"/>
      <c r="AF18" s="11"/>
      <c r="AG18" s="102" t="s">
        <v>62</v>
      </c>
      <c r="AH18" s="103">
        <f>MOD(MIN(AH14:AH17)*MAX(AH14:AH17),11)</f>
        <v>1</v>
      </c>
      <c r="AJ18" s="46"/>
      <c r="AK18" s="11"/>
      <c r="AL18" s="11"/>
      <c r="AM18" s="47"/>
      <c r="AN18" s="47"/>
      <c r="AO18" s="46"/>
      <c r="AP18" s="11"/>
      <c r="AQ18" s="11"/>
      <c r="AV18" s="46"/>
      <c r="AW18" s="11"/>
      <c r="BD18" s="104">
        <f>COUNTIF(BD14:BD17,"x")</f>
        <v>4</v>
      </c>
      <c r="BE18" s="103">
        <f>SUM(BE14:BE17)</f>
        <v>10</v>
      </c>
      <c r="BF18" s="103" t="str">
        <f>IF(W18,IF(BD18&gt;=3,text!B$71,IF(AND(BD18=2,BE18=3),text!B$72,text!B$73)),"")</f>
        <v>ranking clear</v>
      </c>
      <c r="BG18" s="47"/>
    </row>
    <row r="19" spans="1:107" ht="10.5">
      <c r="A19" s="10"/>
      <c r="E19" s="46"/>
      <c r="L19" s="46"/>
      <c r="S19" s="46"/>
      <c r="AB19" s="46"/>
      <c r="AE19" s="46"/>
      <c r="AG19" s="49"/>
      <c r="AH19" s="49"/>
      <c r="AJ19" s="46"/>
      <c r="AK19" s="11"/>
      <c r="AL19" s="49"/>
      <c r="AM19" s="49"/>
      <c r="AN19" s="49"/>
      <c r="AO19" s="46"/>
      <c r="AP19" s="11"/>
      <c r="AQ19" s="49"/>
      <c r="AR19" s="124"/>
      <c r="AS19" s="124"/>
      <c r="AT19" s="124"/>
      <c r="AU19" s="49"/>
      <c r="AV19" s="46"/>
      <c r="AW19" s="11"/>
      <c r="AX19" s="47"/>
      <c r="AY19" s="125"/>
      <c r="AZ19" s="125"/>
      <c r="BA19" s="125"/>
      <c r="BB19" s="105"/>
      <c r="BC19" s="124"/>
      <c r="BD19" s="124"/>
      <c r="BE19" s="124"/>
      <c r="BZ19" s="47"/>
      <c r="CA19" s="47"/>
      <c r="CK19" s="47"/>
      <c r="CL19" s="47"/>
      <c r="CO19" s="47"/>
      <c r="CP19" s="47"/>
      <c r="CQ19" s="47"/>
      <c r="CR19" s="47"/>
      <c r="CS19" s="47"/>
      <c r="CW19" s="47"/>
      <c r="CX19" s="47"/>
      <c r="CY19" s="47"/>
      <c r="CZ19" s="47"/>
      <c r="DA19" s="47"/>
      <c r="DB19" s="47"/>
      <c r="DC19" s="47"/>
    </row>
    <row r="20" spans="1:107" ht="10.5">
      <c r="A20" s="10" t="str">
        <f>text!B18</f>
        <v>GROUP C</v>
      </c>
      <c r="E20" s="46"/>
      <c r="L20" s="46"/>
      <c r="S20" s="46"/>
      <c r="AB20" s="46"/>
      <c r="AE20" s="46"/>
      <c r="AG20" s="49"/>
      <c r="AH20" s="49"/>
      <c r="AJ20" s="46"/>
      <c r="AK20" s="11"/>
      <c r="AL20" s="49"/>
      <c r="AM20" s="49"/>
      <c r="AN20" s="49"/>
      <c r="AO20" s="46"/>
      <c r="AP20" s="11"/>
      <c r="AQ20" s="49"/>
      <c r="AR20" s="124"/>
      <c r="AS20" s="124"/>
      <c r="AT20" s="124"/>
      <c r="AU20" s="49"/>
      <c r="AV20" s="46"/>
      <c r="AW20" s="11"/>
      <c r="AX20" s="47"/>
      <c r="AY20" s="125"/>
      <c r="AZ20" s="125"/>
      <c r="BA20" s="125"/>
      <c r="BB20" s="105"/>
      <c r="BC20" s="124"/>
      <c r="BD20" s="124"/>
      <c r="BE20" s="124"/>
      <c r="BZ20" s="47"/>
      <c r="CA20" s="47"/>
      <c r="CK20" s="47"/>
      <c r="CL20" s="47"/>
      <c r="CO20" s="47"/>
      <c r="CP20" s="47"/>
      <c r="CQ20" s="47"/>
      <c r="CR20" s="47"/>
      <c r="CS20" s="47"/>
      <c r="CW20" s="47"/>
      <c r="CX20" s="47"/>
      <c r="CY20" s="47"/>
      <c r="CZ20" s="47"/>
      <c r="DA20" s="47"/>
      <c r="DB20" s="47"/>
      <c r="DC20" s="47"/>
    </row>
    <row r="21" spans="1:50" s="4" customFormat="1" ht="20.25">
      <c r="A21" s="57" t="str">
        <f>'Round 1'!A18</f>
        <v>Inglismaa</v>
      </c>
      <c r="B21" s="58">
        <f>IF(ISNUMBER('Round 1'!D18),'Round 1'!D18,"")</f>
        <v>1</v>
      </c>
      <c r="C21" s="58">
        <f>IF(ISNUMBER('Round 1'!F18),'Round 1'!F18,"")</f>
        <v>1</v>
      </c>
      <c r="D21" s="59" t="str">
        <f>'Round 1'!C18</f>
        <v>Ameerika Ühendriigid</v>
      </c>
      <c r="E21" s="60"/>
      <c r="F21" s="61"/>
      <c r="G21" s="62">
        <f>SUM(H22:K25)</f>
        <v>9</v>
      </c>
      <c r="H21" s="63" t="str">
        <f>text!A19</f>
        <v>ALG</v>
      </c>
      <c r="I21" s="64" t="str">
        <f>text!A20</f>
        <v>SLO</v>
      </c>
      <c r="J21" s="64" t="str">
        <f>text!A21</f>
        <v>ENG</v>
      </c>
      <c r="K21" s="65" t="str">
        <f>text!A22</f>
        <v>USA</v>
      </c>
      <c r="L21" s="60"/>
      <c r="M21" s="61"/>
      <c r="N21" s="62">
        <f>SUM(O22:R25)</f>
        <v>15</v>
      </c>
      <c r="O21" s="63" t="str">
        <f>text!A19</f>
        <v>ALG</v>
      </c>
      <c r="P21" s="64" t="str">
        <f>text!A20</f>
        <v>SLO</v>
      </c>
      <c r="Q21" s="64" t="str">
        <f>text!A21</f>
        <v>ENG</v>
      </c>
      <c r="R21" s="65" t="str">
        <f>text!A22</f>
        <v>USA</v>
      </c>
      <c r="S21" s="60"/>
      <c r="T21" s="61"/>
      <c r="W21" s="66" t="str">
        <f>text!A$64</f>
        <v>M</v>
      </c>
      <c r="X21" s="67" t="str">
        <f>text!A$65</f>
        <v>Pts</v>
      </c>
      <c r="Y21" s="67" t="str">
        <f>text!A$66</f>
        <v>Löödud</v>
      </c>
      <c r="Z21" s="67" t="str">
        <f>text!A$67</f>
        <v>Sisse</v>
      </c>
      <c r="AA21" s="68" t="str">
        <f>text!A$68</f>
        <v>Vahe</v>
      </c>
      <c r="AB21" s="60"/>
      <c r="AC21" s="61"/>
      <c r="AD21" s="5"/>
      <c r="AE21" s="60"/>
      <c r="AF21" s="61"/>
      <c r="AJ21" s="60"/>
      <c r="AK21" s="61"/>
      <c r="AL21" s="61"/>
      <c r="AM21" s="47"/>
      <c r="AN21" s="47"/>
      <c r="AO21" s="60"/>
      <c r="AP21" s="61"/>
      <c r="AQ21" s="69">
        <f>MATCH(1,AH22:AH25,0)</f>
        <v>1</v>
      </c>
      <c r="AV21" s="60"/>
      <c r="AW21" s="61"/>
      <c r="AX21" s="48"/>
    </row>
    <row r="22" spans="1:59" s="4" customFormat="1" ht="10.5">
      <c r="A22" s="70" t="str">
        <f>'Round 1'!A19</f>
        <v>Alžeeria</v>
      </c>
      <c r="B22" s="11">
        <f>IF(ISNUMBER('Round 1'!D19),'Round 1'!D19,"")</f>
        <v>0</v>
      </c>
      <c r="C22" s="11">
        <f>IF(ISNUMBER('Round 1'!F19),'Round 1'!F19,"")</f>
        <v>1</v>
      </c>
      <c r="D22" s="71" t="str">
        <f>'Round 1'!C19</f>
        <v>Sloveenia</v>
      </c>
      <c r="E22" s="46"/>
      <c r="F22" s="11"/>
      <c r="G22" s="72" t="str">
        <f>text!A19</f>
        <v>ALG</v>
      </c>
      <c r="H22" s="73"/>
      <c r="I22" s="74">
        <f>B21</f>
        <v>1</v>
      </c>
      <c r="J22" s="74">
        <f>B23</f>
        <v>0</v>
      </c>
      <c r="K22" s="75">
        <f>C25</f>
        <v>1</v>
      </c>
      <c r="L22" s="46"/>
      <c r="M22" s="11"/>
      <c r="N22" s="72" t="str">
        <f>text!A19</f>
        <v>ALG</v>
      </c>
      <c r="O22" s="73"/>
      <c r="P22" s="74">
        <f>IF(AND(ISNUMBER(I22),ISNUMBER(H23)),IF(I22&gt;H23,3,IF(I22=H23,1,0)),0)</f>
        <v>1</v>
      </c>
      <c r="Q22" s="74">
        <f>IF(AND(ISNUMBER(J22),ISNUMBER(H24)),IF(J22&gt;H24,3,IF(J22=H24,1,0)),0)</f>
        <v>1</v>
      </c>
      <c r="R22" s="75">
        <f>IF(AND(ISNUMBER(K22),ISNUMBER(H25)),IF(K22&gt;H25,3,IF(K22=H25,1,0)),0)</f>
        <v>3</v>
      </c>
      <c r="S22" s="46"/>
      <c r="T22" s="11"/>
      <c r="U22" s="4">
        <v>1</v>
      </c>
      <c r="V22" s="76" t="str">
        <f>text!B19</f>
        <v>Inglismaa</v>
      </c>
      <c r="W22" s="77">
        <f>IF(COUNT(H22:K22)=COUNT(H22:H25),COUNT(H22:H25),"")</f>
        <v>3</v>
      </c>
      <c r="X22" s="74">
        <f>SUM(O22:R22)</f>
        <v>5</v>
      </c>
      <c r="Y22" s="74">
        <f>SUM(H22:K22)</f>
        <v>2</v>
      </c>
      <c r="Z22" s="74">
        <f>SUM(H22:H25)</f>
        <v>1</v>
      </c>
      <c r="AA22" s="75">
        <f>Y22-Z22</f>
        <v>1</v>
      </c>
      <c r="AB22" s="46"/>
      <c r="AC22" s="11"/>
      <c r="AD22" s="78">
        <f>BB22</f>
        <v>2</v>
      </c>
      <c r="AE22" s="46"/>
      <c r="AF22" s="11"/>
      <c r="AG22" s="76">
        <f>X22*10000+AA22*100+Y22</f>
        <v>50102</v>
      </c>
      <c r="AH22" s="76">
        <f>COUNTIF(AG22:AG25,AG22)</f>
        <v>1</v>
      </c>
      <c r="AI22" s="76" t="str">
        <f>IF(AH22=1,"x","")</f>
        <v>x</v>
      </c>
      <c r="AJ22" s="46"/>
      <c r="AK22" s="11"/>
      <c r="AL22" s="79">
        <f>IF(AI22="x",1,IF(AG23=AG22,2,IF(AG24=AG22,3,4)))</f>
        <v>1</v>
      </c>
      <c r="AM22" s="76">
        <f>INDEX(O22:R22,1,AL22)</f>
        <v>0</v>
      </c>
      <c r="AN22" s="80">
        <f>IF(OR(AH26=2,AH26=4),AM22/10,0)</f>
        <v>0</v>
      </c>
      <c r="AO22" s="46"/>
      <c r="AP22" s="11"/>
      <c r="AQ22" s="11"/>
      <c r="AR22" s="77">
        <f>X22-INDEX(O22:R22,1,AQ21)</f>
        <v>5</v>
      </c>
      <c r="AS22" s="76">
        <f>AA22-(INDEX(H22:K22,1,AQ21)-INDEX(H22:H25,AQ21,1))</f>
        <v>1</v>
      </c>
      <c r="AT22" s="77">
        <f>Y22-INDEX(H22:K22,1,AQ21)</f>
        <v>2</v>
      </c>
      <c r="AU22" s="80">
        <f>IF(OR(AH26&lt;&gt;3,AI22="x"),0,AR22/10+AS22/1000+AT22/100000)</f>
        <v>0</v>
      </c>
      <c r="AV22" s="46"/>
      <c r="AW22" s="11"/>
      <c r="AX22" s="80">
        <f>AG22+AN22+AU22</f>
        <v>50102</v>
      </c>
      <c r="AY22" s="77">
        <f>IF(INDEX(AX22:AX25,U22)&gt;=INDEX(AX22:AX25,U23),U22,U23)</f>
        <v>2</v>
      </c>
      <c r="AZ22" s="74">
        <f>IF(INDEX(AX22:AX25,AY22)&gt;=INDEX(AX22:AX25,AY24),AY22,AY24)</f>
        <v>2</v>
      </c>
      <c r="BA22" s="75">
        <f>IF(INDEX(AX22:AX25,AZ22)&gt;=INDEX(AX22:AX25,AZ25),AZ22,AZ25)</f>
        <v>2</v>
      </c>
      <c r="BB22" s="78">
        <f>MATCH(U22,BA22:BA25,0)</f>
        <v>2</v>
      </c>
      <c r="BC22" s="77">
        <f>COUNTIF(AX22:AX25,AX22)</f>
        <v>1</v>
      </c>
      <c r="BD22" s="75" t="str">
        <f>IF(BC22=1,"x","")</f>
        <v>x</v>
      </c>
      <c r="BE22" s="76">
        <f>(BD22="x")*BB22</f>
        <v>2</v>
      </c>
      <c r="BF22" s="47"/>
      <c r="BG22" s="47"/>
    </row>
    <row r="23" spans="1:59" s="4" customFormat="1" ht="10.5">
      <c r="A23" s="70" t="str">
        <f>'Round 1'!A20</f>
        <v>Inglismaa</v>
      </c>
      <c r="B23" s="11">
        <f>IF(ISNUMBER('Round 1'!D20),'Round 1'!D20,"")</f>
        <v>0</v>
      </c>
      <c r="C23" s="11">
        <f>IF(ISNUMBER('Round 1'!F20),'Round 1'!F20,"")</f>
        <v>0</v>
      </c>
      <c r="D23" s="71" t="str">
        <f>'Round 1'!C20</f>
        <v>Alžeeria</v>
      </c>
      <c r="E23" s="46"/>
      <c r="F23" s="11"/>
      <c r="G23" s="81" t="str">
        <f>text!A20</f>
        <v>SLO</v>
      </c>
      <c r="H23" s="82">
        <f>C21</f>
        <v>1</v>
      </c>
      <c r="I23" s="83"/>
      <c r="J23" s="47">
        <f>B26</f>
        <v>1</v>
      </c>
      <c r="K23" s="84">
        <f>C24</f>
        <v>2</v>
      </c>
      <c r="L23" s="46"/>
      <c r="M23" s="11"/>
      <c r="N23" s="81" t="str">
        <f>text!A20</f>
        <v>SLO</v>
      </c>
      <c r="O23" s="82">
        <f>IF(AND(ISNUMBER(H23),ISNUMBER(I22)),IF(H23&gt;I22,3,IF(H23=I22,1,0)),0)</f>
        <v>1</v>
      </c>
      <c r="P23" s="83"/>
      <c r="Q23" s="47">
        <f>IF(AND(ISNUMBER(J23),ISNUMBER(I24)),IF(J23&gt;I24,3,IF(J23=I24,1,0)),0)</f>
        <v>3</v>
      </c>
      <c r="R23" s="84">
        <f>IF(AND(ISNUMBER(K23),ISNUMBER(I25)),IF(K23&gt;I25,3,IF(K23=I25,1,0)),0)</f>
        <v>1</v>
      </c>
      <c r="S23" s="46"/>
      <c r="T23" s="11"/>
      <c r="U23" s="4">
        <v>2</v>
      </c>
      <c r="V23" s="85" t="str">
        <f>text!B20</f>
        <v>Ameerika Ühendriigid</v>
      </c>
      <c r="W23" s="82">
        <f>IF(COUNT(H23:K23)=COUNT(I22:I25),COUNT(I22:I25),"")</f>
        <v>3</v>
      </c>
      <c r="X23" s="47">
        <f>SUM(O23:R23)</f>
        <v>5</v>
      </c>
      <c r="Y23" s="47">
        <f>SUM(H23:K23)</f>
        <v>4</v>
      </c>
      <c r="Z23" s="47">
        <f>SUM(I22:I25)</f>
        <v>3</v>
      </c>
      <c r="AA23" s="84">
        <f>Y23-Z23</f>
        <v>1</v>
      </c>
      <c r="AB23" s="46"/>
      <c r="AC23" s="11"/>
      <c r="AD23" s="86">
        <f>BB23</f>
        <v>1</v>
      </c>
      <c r="AE23" s="46"/>
      <c r="AF23" s="11"/>
      <c r="AG23" s="85">
        <f>X23*10000+AA23*100+Y23</f>
        <v>50104</v>
      </c>
      <c r="AH23" s="85">
        <f>COUNTIF(AG22:AG25,AG23)</f>
        <v>1</v>
      </c>
      <c r="AI23" s="85" t="str">
        <f>IF(AH23=1,"x","")</f>
        <v>x</v>
      </c>
      <c r="AJ23" s="46"/>
      <c r="AK23" s="11"/>
      <c r="AL23" s="87">
        <f>IF(AI23="x",2,IF(AG24=AG23,3,IF(AG25=AG23,4,1)))</f>
        <v>2</v>
      </c>
      <c r="AM23" s="85">
        <f>INDEX(O23:R23,1,AL23)</f>
        <v>0</v>
      </c>
      <c r="AN23" s="88">
        <f>IF(OR(AH26=2,AH26=4),AM23/10,0)</f>
        <v>0</v>
      </c>
      <c r="AO23" s="46"/>
      <c r="AP23" s="11"/>
      <c r="AQ23" s="11"/>
      <c r="AR23" s="82">
        <f>X23-INDEX(O23:R23,1,AQ21)</f>
        <v>4</v>
      </c>
      <c r="AS23" s="85">
        <f>AA23-(INDEX(H23:K23,1,AQ21)-INDEX(I22:I25,AQ21))</f>
        <v>1</v>
      </c>
      <c r="AT23" s="82">
        <f>Y23-INDEX(H23:K23,1,AQ21)</f>
        <v>3</v>
      </c>
      <c r="AU23" s="88">
        <f>IF(OR(AH26&lt;&gt;3,AI23="x"),0,AR23/10+AS23/1000+AT23/100000)</f>
        <v>0</v>
      </c>
      <c r="AV23" s="46"/>
      <c r="AW23" s="11"/>
      <c r="AX23" s="88">
        <f>AG23+AN23+AU23</f>
        <v>50104</v>
      </c>
      <c r="AY23" s="82">
        <f>IF(INDEX(AX22:AX25,U23)&lt;=INDEX(AX22:AX25,U22),U23,U22)</f>
        <v>1</v>
      </c>
      <c r="AZ23" s="47">
        <f>IF(INDEX(AX22:AX25,AY23)&gt;=INDEX(AX22:AX25,AY25),AY23,AY25)</f>
        <v>1</v>
      </c>
      <c r="BA23" s="84">
        <f>IF(INDEX(AX22:AX25,AZ23)&gt;=INDEX(AX22:AX25,AZ24),AZ23,AZ24)</f>
        <v>1</v>
      </c>
      <c r="BB23" s="86">
        <f>MATCH(U23,BA22:BA25,0)</f>
        <v>1</v>
      </c>
      <c r="BC23" s="82">
        <f>COUNTIF(AX22:AX25,AX23)</f>
        <v>1</v>
      </c>
      <c r="BD23" s="84" t="str">
        <f>IF(BC23=1,"x","")</f>
        <v>x</v>
      </c>
      <c r="BE23" s="85">
        <f>(BD23="x")*BB23</f>
        <v>1</v>
      </c>
      <c r="BF23" s="47"/>
      <c r="BG23" s="47"/>
    </row>
    <row r="24" spans="1:59" s="4" customFormat="1" ht="10.5">
      <c r="A24" s="70" t="str">
        <f>'Round 1'!A21</f>
        <v>Sloveenia</v>
      </c>
      <c r="B24" s="11">
        <f>IF(ISNUMBER('Round 1'!D21),'Round 1'!D21,"")</f>
        <v>2</v>
      </c>
      <c r="C24" s="11">
        <f>IF(ISNUMBER('Round 1'!F21),'Round 1'!F21,"")</f>
        <v>2</v>
      </c>
      <c r="D24" s="71" t="str">
        <f>'Round 1'!C21</f>
        <v>Ameerika Ühendriigid</v>
      </c>
      <c r="E24" s="46"/>
      <c r="F24" s="11"/>
      <c r="G24" s="81" t="str">
        <f>text!A21</f>
        <v>ENG</v>
      </c>
      <c r="H24" s="82">
        <f>C23</f>
        <v>0</v>
      </c>
      <c r="I24" s="47">
        <f>C26</f>
        <v>0</v>
      </c>
      <c r="J24" s="83"/>
      <c r="K24" s="84">
        <f>B22</f>
        <v>0</v>
      </c>
      <c r="L24" s="46"/>
      <c r="M24" s="11"/>
      <c r="N24" s="81" t="str">
        <f>text!A21</f>
        <v>ENG</v>
      </c>
      <c r="O24" s="82">
        <f>IF(AND(ISNUMBER(H24),ISNUMBER(J22)),IF(H24&gt;J22,3,IF(H24=J22,1,0)),0)</f>
        <v>1</v>
      </c>
      <c r="P24" s="47">
        <f>IF(AND(ISNUMBER(I24),ISNUMBER(J23)),IF(I24&gt;J23,3,IF(I24=J23,1,0)),0)</f>
        <v>0</v>
      </c>
      <c r="Q24" s="83"/>
      <c r="R24" s="84">
        <f>IF(AND(ISNUMBER(K24),ISNUMBER(J25)),IF(K24&gt;J25,3,IF(K24=J25,1,0)),0)</f>
        <v>0</v>
      </c>
      <c r="S24" s="46"/>
      <c r="T24" s="11"/>
      <c r="U24" s="4">
        <v>3</v>
      </c>
      <c r="V24" s="85" t="str">
        <f>text!B21</f>
        <v>Alžeeria</v>
      </c>
      <c r="W24" s="82">
        <f>IF(COUNT(H24:K24)=COUNT(J22:J25),COUNT(J22:J25),"")</f>
        <v>3</v>
      </c>
      <c r="X24" s="47">
        <f>SUM(O24:R24)</f>
        <v>1</v>
      </c>
      <c r="Y24" s="47">
        <f>SUM(H24:K24)</f>
        <v>0</v>
      </c>
      <c r="Z24" s="47">
        <f>SUM(J22:J25)</f>
        <v>2</v>
      </c>
      <c r="AA24" s="84">
        <f>Y24-Z24</f>
        <v>-2</v>
      </c>
      <c r="AB24" s="46"/>
      <c r="AC24" s="11"/>
      <c r="AD24" s="86">
        <f>BB24</f>
        <v>4</v>
      </c>
      <c r="AE24" s="46"/>
      <c r="AF24" s="11"/>
      <c r="AG24" s="85">
        <f>X24*10000+AA24*100+Y24</f>
        <v>9800</v>
      </c>
      <c r="AH24" s="85">
        <f>COUNTIF(AG22:AG25,AG24)</f>
        <v>1</v>
      </c>
      <c r="AI24" s="85" t="str">
        <f>IF(AH24=1,"x","")</f>
        <v>x</v>
      </c>
      <c r="AJ24" s="46"/>
      <c r="AK24" s="11"/>
      <c r="AL24" s="87">
        <f>IF(AI24="x",3,IF(AG25=AG24,4,IF(AG23=AG24,2,1)))</f>
        <v>3</v>
      </c>
      <c r="AM24" s="85">
        <f>INDEX(O24:R24,1,AL24)</f>
        <v>0</v>
      </c>
      <c r="AN24" s="88">
        <f>IF(OR(AH26=2,AH26=4),AM24/10,0)</f>
        <v>0</v>
      </c>
      <c r="AO24" s="46"/>
      <c r="AP24" s="11"/>
      <c r="AQ24" s="11"/>
      <c r="AR24" s="82">
        <f>X24-INDEX(O24:R24,1,AQ21)</f>
        <v>0</v>
      </c>
      <c r="AS24" s="85">
        <f>AA24-(INDEX(H24:K24,1,AQ21)-INDEX(J22:J25,AQ21))</f>
        <v>-2</v>
      </c>
      <c r="AT24" s="82">
        <f>Y24-INDEX(H24:K24,1,AQ21)</f>
        <v>0</v>
      </c>
      <c r="AU24" s="88">
        <f>IF(OR(AH26&lt;&gt;3,AI24="x"),0,AR24/10+AS24/1000+AT24/100000)</f>
        <v>0</v>
      </c>
      <c r="AV24" s="46"/>
      <c r="AW24" s="11"/>
      <c r="AX24" s="88">
        <f>AG24+AN24+AU24</f>
        <v>9800</v>
      </c>
      <c r="AY24" s="82">
        <f>IF(INDEX(AX22:AX25,U24)&gt;=INDEX(AX22:AX25,U25),U24,U25)</f>
        <v>4</v>
      </c>
      <c r="AZ24" s="47">
        <f>IF(INDEX(AX22:AX25,AY24)&lt;=INDEX(AX22:AX25,AY22),AY24,AY22)</f>
        <v>4</v>
      </c>
      <c r="BA24" s="84">
        <f>IF(INDEX(AX22:AX25,AZ24)&lt;=INDEX(AX22:AX25,AZ23),AZ24,AZ23)</f>
        <v>4</v>
      </c>
      <c r="BB24" s="86">
        <f>MATCH(U24,BA22:BA25,0)</f>
        <v>4</v>
      </c>
      <c r="BC24" s="82">
        <f>COUNTIF(AX22:AX25,AX24)</f>
        <v>1</v>
      </c>
      <c r="BD24" s="84" t="str">
        <f>IF(BC24=1,"x","")</f>
        <v>x</v>
      </c>
      <c r="BE24" s="85">
        <f>(BD24="x")*BB24</f>
        <v>4</v>
      </c>
      <c r="BF24" s="47"/>
      <c r="BG24" s="47"/>
    </row>
    <row r="25" spans="1:59" s="4" customFormat="1" ht="10.5">
      <c r="A25" s="70" t="str">
        <f>'Round 1'!A22</f>
        <v>Sloveenia</v>
      </c>
      <c r="B25" s="11">
        <f>IF(ISNUMBER('Round 1'!D22),'Round 1'!D22,"")</f>
        <v>0</v>
      </c>
      <c r="C25" s="11">
        <f>IF(ISNUMBER('Round 1'!F22),'Round 1'!F22,"")</f>
        <v>1</v>
      </c>
      <c r="D25" s="71" t="str">
        <f>'Round 1'!C22</f>
        <v>Inglismaa</v>
      </c>
      <c r="E25" s="89"/>
      <c r="F25" s="47"/>
      <c r="G25" s="90" t="str">
        <f>text!A22</f>
        <v>USA</v>
      </c>
      <c r="H25" s="91">
        <f>B25</f>
        <v>0</v>
      </c>
      <c r="I25" s="92">
        <f>B24</f>
        <v>2</v>
      </c>
      <c r="J25" s="92">
        <f>C22</f>
        <v>1</v>
      </c>
      <c r="K25" s="93"/>
      <c r="L25" s="89"/>
      <c r="M25" s="47"/>
      <c r="N25" s="90" t="str">
        <f>text!A22</f>
        <v>USA</v>
      </c>
      <c r="O25" s="91">
        <f>IF(AND(ISNUMBER(H25),ISNUMBER(K22)),IF(H25&gt;K22,3,IF(H25=K22,1,0)),0)</f>
        <v>0</v>
      </c>
      <c r="P25" s="92">
        <f>IF(AND(ISNUMBER(I25),ISNUMBER(K23)),IF(I25&gt;K23,3,IF(I25=K23,1,0)),0)</f>
        <v>1</v>
      </c>
      <c r="Q25" s="92">
        <f>IF(AND(ISNUMBER(J25),ISNUMBER(K24)),IF(J25&gt;K24,3,IF(J25=K24,1,0)),0)</f>
        <v>3</v>
      </c>
      <c r="R25" s="93"/>
      <c r="S25" s="89"/>
      <c r="T25" s="47"/>
      <c r="U25" s="4">
        <v>4</v>
      </c>
      <c r="V25" s="94" t="str">
        <f>text!B22</f>
        <v>Sloveenia</v>
      </c>
      <c r="W25" s="91">
        <f>IF(COUNT(H25:K25)=COUNT(K22:K25),COUNT(K22:K25),"")</f>
        <v>3</v>
      </c>
      <c r="X25" s="92">
        <f>SUM(O25:R25)</f>
        <v>4</v>
      </c>
      <c r="Y25" s="92">
        <f>SUM(H25:K25)</f>
        <v>3</v>
      </c>
      <c r="Z25" s="92">
        <f>SUM(K22:K25)</f>
        <v>3</v>
      </c>
      <c r="AA25" s="95">
        <f>Y25-Z25</f>
        <v>0</v>
      </c>
      <c r="AB25" s="89"/>
      <c r="AC25" s="47"/>
      <c r="AD25" s="96">
        <f>BB25</f>
        <v>3</v>
      </c>
      <c r="AE25" s="89"/>
      <c r="AF25" s="47"/>
      <c r="AG25" s="94">
        <f>X25*10000+AA25*100+Y25</f>
        <v>40003</v>
      </c>
      <c r="AH25" s="94">
        <f>COUNTIF(AG22:AG25,AG25)</f>
        <v>1</v>
      </c>
      <c r="AI25" s="94" t="str">
        <f>IF(AH25=1,"x","")</f>
        <v>x</v>
      </c>
      <c r="AJ25" s="89"/>
      <c r="AK25" s="47"/>
      <c r="AL25" s="97">
        <f>IF(AI25="x",4,IF(AG22=AG25,1,IF(AG23=AG25,2,3)))</f>
        <v>4</v>
      </c>
      <c r="AM25" s="94">
        <f>INDEX(O25:R25,1,AL25)</f>
        <v>0</v>
      </c>
      <c r="AN25" s="98">
        <f>IF(OR(AH26=2,AH26=4),AM25/10,0)</f>
        <v>0</v>
      </c>
      <c r="AO25" s="89"/>
      <c r="AP25" s="47"/>
      <c r="AQ25" s="47"/>
      <c r="AR25" s="91">
        <f>X25-INDEX(O25:R25,1,AQ21)</f>
        <v>4</v>
      </c>
      <c r="AS25" s="94">
        <f>AA25-(INDEX(H25:K25,1,AQ21)-INDEX(K22:K25,AQ21))</f>
        <v>1</v>
      </c>
      <c r="AT25" s="91">
        <f>Y25-INDEX(H25:K25,1,AQ21)</f>
        <v>3</v>
      </c>
      <c r="AU25" s="98">
        <f>IF(OR(AH26&lt;&gt;3,AI25="x"),0,AR25/10+AS25/1000+AT25/100000)</f>
        <v>0</v>
      </c>
      <c r="AV25" s="89"/>
      <c r="AW25" s="47"/>
      <c r="AX25" s="98">
        <f>AG25+AN25+AU25</f>
        <v>40003</v>
      </c>
      <c r="AY25" s="91">
        <f>IF(INDEX(AX22:AX25,U25)&lt;=INDEX(AX22:AX25,U24),U25,U24)</f>
        <v>3</v>
      </c>
      <c r="AZ25" s="92">
        <f>IF(INDEX(AX22:AX25,AY25)&lt;=INDEX(AX22:AX25,AY23),AY25,AY23)</f>
        <v>3</v>
      </c>
      <c r="BA25" s="95">
        <f>IF(INDEX(AX22:AX25,AZ25)&lt;=INDEX(AX22:AX25,AZ22),AZ25,AZ22)</f>
        <v>3</v>
      </c>
      <c r="BB25" s="96">
        <f>MATCH(U25,BA22:BA25,0)</f>
        <v>3</v>
      </c>
      <c r="BC25" s="91">
        <f>COUNTIF(AX22:AX25,AX25)</f>
        <v>1</v>
      </c>
      <c r="BD25" s="95" t="str">
        <f>IF(BC25=1,"x","")</f>
        <v>x</v>
      </c>
      <c r="BE25" s="85">
        <f>(BD25="x")*BB25</f>
        <v>3</v>
      </c>
      <c r="BF25" s="47"/>
      <c r="BG25" s="47"/>
    </row>
    <row r="26" spans="1:59" s="4" customFormat="1" ht="10.5">
      <c r="A26" s="99" t="str">
        <f>'Round 1'!A23</f>
        <v>Ameerika Ühendriigid</v>
      </c>
      <c r="B26" s="100">
        <f>IF(ISNUMBER('Round 1'!D23),'Round 1'!D23,"")</f>
        <v>1</v>
      </c>
      <c r="C26" s="100">
        <f>IF(ISNUMBER('Round 1'!F23),'Round 1'!F23,"")</f>
        <v>0</v>
      </c>
      <c r="D26" s="101" t="str">
        <f>'Round 1'!C23</f>
        <v>Alžeeria</v>
      </c>
      <c r="E26" s="46"/>
      <c r="F26" s="11"/>
      <c r="G26" s="5"/>
      <c r="H26" s="5"/>
      <c r="I26" s="5"/>
      <c r="J26" s="5"/>
      <c r="K26" s="11"/>
      <c r="L26" s="46"/>
      <c r="M26" s="11"/>
      <c r="N26" s="5"/>
      <c r="R26" s="47"/>
      <c r="S26" s="46"/>
      <c r="T26" s="11"/>
      <c r="V26" s="6" t="s">
        <v>61</v>
      </c>
      <c r="W26" s="4" t="b">
        <f>SUM(W22:W25)=12</f>
        <v>1</v>
      </c>
      <c r="AB26" s="46"/>
      <c r="AC26" s="11"/>
      <c r="AD26" s="96" t="str">
        <f>BF26</f>
        <v>ranking clear</v>
      </c>
      <c r="AE26" s="46"/>
      <c r="AF26" s="11"/>
      <c r="AG26" s="102" t="s">
        <v>62</v>
      </c>
      <c r="AH26" s="103">
        <f>MOD(MIN(AH22:AH25)*MAX(AH22:AH25),11)</f>
        <v>1</v>
      </c>
      <c r="AJ26" s="46"/>
      <c r="AK26" s="11"/>
      <c r="AL26" s="11"/>
      <c r="AM26" s="47"/>
      <c r="AN26" s="47"/>
      <c r="AO26" s="46"/>
      <c r="AP26" s="11"/>
      <c r="AQ26" s="11"/>
      <c r="AV26" s="46"/>
      <c r="AW26" s="11"/>
      <c r="BD26" s="104">
        <f>COUNTIF(BD22:BD25,"x")</f>
        <v>4</v>
      </c>
      <c r="BE26" s="103">
        <f>SUM(BE22:BE25)</f>
        <v>10</v>
      </c>
      <c r="BF26" s="103" t="str">
        <f>IF(W26,IF(BD26&gt;=3,text!B$71,IF(AND(BD26=2,BE26=3),text!B$72,text!B$73)),"")</f>
        <v>ranking clear</v>
      </c>
      <c r="BG26" s="47"/>
    </row>
    <row r="27" spans="1:107" ht="10.5">
      <c r="A27" s="10"/>
      <c r="E27" s="46"/>
      <c r="L27" s="46"/>
      <c r="S27" s="46"/>
      <c r="AB27" s="46"/>
      <c r="AE27" s="46"/>
      <c r="AG27" s="49"/>
      <c r="AH27" s="49"/>
      <c r="AJ27" s="46"/>
      <c r="AK27" s="11"/>
      <c r="AL27" s="49"/>
      <c r="AM27" s="49"/>
      <c r="AN27" s="49"/>
      <c r="AO27" s="46"/>
      <c r="AP27" s="11"/>
      <c r="AQ27" s="49"/>
      <c r="AR27" s="124"/>
      <c r="AS27" s="124"/>
      <c r="AT27" s="124"/>
      <c r="AU27" s="49"/>
      <c r="AV27" s="46"/>
      <c r="AW27" s="11"/>
      <c r="AX27" s="47"/>
      <c r="AY27" s="125"/>
      <c r="AZ27" s="125"/>
      <c r="BA27" s="125"/>
      <c r="BB27" s="105"/>
      <c r="BC27" s="124"/>
      <c r="BD27" s="124"/>
      <c r="BE27" s="124"/>
      <c r="BZ27" s="47"/>
      <c r="CA27" s="47"/>
      <c r="CK27" s="47"/>
      <c r="CL27" s="47"/>
      <c r="CO27" s="47"/>
      <c r="CP27" s="47"/>
      <c r="CQ27" s="47"/>
      <c r="CR27" s="47"/>
      <c r="CS27" s="47"/>
      <c r="CW27" s="47"/>
      <c r="CX27" s="47"/>
      <c r="CY27" s="47"/>
      <c r="CZ27" s="47"/>
      <c r="DA27" s="47"/>
      <c r="DB27" s="47"/>
      <c r="DC27" s="47"/>
    </row>
    <row r="28" spans="1:107" ht="10.5">
      <c r="A28" s="10" t="str">
        <f>text!B26</f>
        <v>GROUP D</v>
      </c>
      <c r="E28" s="46"/>
      <c r="L28" s="46"/>
      <c r="S28" s="46"/>
      <c r="AB28" s="46"/>
      <c r="AE28" s="46"/>
      <c r="AG28" s="49"/>
      <c r="AH28" s="49"/>
      <c r="AJ28" s="46"/>
      <c r="AK28" s="11"/>
      <c r="AL28" s="49"/>
      <c r="AM28" s="49"/>
      <c r="AN28" s="49"/>
      <c r="AO28" s="46"/>
      <c r="AP28" s="11"/>
      <c r="AQ28" s="49"/>
      <c r="AR28" s="124"/>
      <c r="AS28" s="124"/>
      <c r="AT28" s="124"/>
      <c r="AU28" s="49"/>
      <c r="AV28" s="46"/>
      <c r="AW28" s="11"/>
      <c r="AX28" s="47"/>
      <c r="AY28" s="125"/>
      <c r="AZ28" s="125"/>
      <c r="BA28" s="125"/>
      <c r="BB28" s="105"/>
      <c r="BC28" s="124"/>
      <c r="BD28" s="124"/>
      <c r="BE28" s="124"/>
      <c r="BZ28" s="47"/>
      <c r="CA28" s="47"/>
      <c r="CK28" s="47"/>
      <c r="CL28" s="47"/>
      <c r="CO28" s="47"/>
      <c r="CP28" s="47"/>
      <c r="CQ28" s="47"/>
      <c r="CR28" s="47"/>
      <c r="CS28" s="47"/>
      <c r="CW28" s="47"/>
      <c r="CX28" s="47"/>
      <c r="CY28" s="47"/>
      <c r="CZ28" s="47"/>
      <c r="DA28" s="47"/>
      <c r="DB28" s="47"/>
      <c r="DC28" s="47"/>
    </row>
    <row r="29" spans="1:50" s="4" customFormat="1" ht="21">
      <c r="A29" s="57" t="str">
        <f>'Round 1'!A26</f>
        <v>Serbia</v>
      </c>
      <c r="B29" s="58">
        <f>IF(ISNUMBER('Round 1'!D26),'Round 1'!D26,"")</f>
        <v>0</v>
      </c>
      <c r="C29" s="58">
        <f>IF(ISNUMBER('Round 1'!F26),'Round 1'!F26,"")</f>
        <v>1</v>
      </c>
      <c r="D29" s="59" t="str">
        <f>'Round 1'!C26</f>
        <v>Ghaana</v>
      </c>
      <c r="E29" s="60"/>
      <c r="F29" s="61"/>
      <c r="G29" s="62">
        <f>SUM(H30:K33)</f>
        <v>12</v>
      </c>
      <c r="H29" s="63" t="str">
        <f>text!A27</f>
        <v>SRB</v>
      </c>
      <c r="I29" s="64" t="str">
        <f>text!A28</f>
        <v>GHA</v>
      </c>
      <c r="J29" s="64" t="str">
        <f>text!A29</f>
        <v>GER</v>
      </c>
      <c r="K29" s="65" t="str">
        <f>text!A30</f>
        <v>AUS</v>
      </c>
      <c r="L29" s="60"/>
      <c r="M29" s="61"/>
      <c r="N29" s="62">
        <f>SUM(O30:R33)</f>
        <v>17</v>
      </c>
      <c r="O29" s="63" t="str">
        <f>text!A27</f>
        <v>SRB</v>
      </c>
      <c r="P29" s="64" t="str">
        <f>text!A28</f>
        <v>GHA</v>
      </c>
      <c r="Q29" s="64" t="str">
        <f>text!A29</f>
        <v>GER</v>
      </c>
      <c r="R29" s="65" t="str">
        <f>text!A30</f>
        <v>AUS</v>
      </c>
      <c r="S29" s="60"/>
      <c r="T29" s="61"/>
      <c r="W29" s="66" t="str">
        <f>text!A$64</f>
        <v>M</v>
      </c>
      <c r="X29" s="67" t="str">
        <f>text!A$65</f>
        <v>Pts</v>
      </c>
      <c r="Y29" s="67" t="str">
        <f>text!A$66</f>
        <v>Löödud</v>
      </c>
      <c r="Z29" s="67" t="str">
        <f>text!A$67</f>
        <v>Sisse</v>
      </c>
      <c r="AA29" s="68" t="str">
        <f>text!A$68</f>
        <v>Vahe</v>
      </c>
      <c r="AB29" s="60"/>
      <c r="AC29" s="61"/>
      <c r="AD29" s="5"/>
      <c r="AE29" s="60"/>
      <c r="AF29" s="61"/>
      <c r="AJ29" s="60"/>
      <c r="AK29" s="61"/>
      <c r="AL29" s="61"/>
      <c r="AM29" s="47"/>
      <c r="AN29" s="47"/>
      <c r="AO29" s="60"/>
      <c r="AP29" s="61"/>
      <c r="AQ29" s="69">
        <f>MATCH(1,AH30:AH33,0)</f>
        <v>1</v>
      </c>
      <c r="AV29" s="60"/>
      <c r="AW29" s="61"/>
      <c r="AX29" s="48"/>
    </row>
    <row r="30" spans="1:59" s="4" customFormat="1" ht="10.5">
      <c r="A30" s="70" t="str">
        <f>'Round 1'!A27</f>
        <v>Saksamaa</v>
      </c>
      <c r="B30" s="11">
        <f>IF(ISNUMBER('Round 1'!D27),'Round 1'!D27,"")</f>
        <v>4</v>
      </c>
      <c r="C30" s="11">
        <f>IF(ISNUMBER('Round 1'!F27),'Round 1'!F27,"")</f>
        <v>0</v>
      </c>
      <c r="D30" s="71" t="str">
        <f>'Round 1'!C27</f>
        <v>Austraalia</v>
      </c>
      <c r="E30" s="46"/>
      <c r="F30" s="11"/>
      <c r="G30" s="72" t="str">
        <f>text!A27</f>
        <v>SRB</v>
      </c>
      <c r="H30" s="73"/>
      <c r="I30" s="74">
        <f>B29</f>
        <v>0</v>
      </c>
      <c r="J30" s="74">
        <f>B31</f>
        <v>1</v>
      </c>
      <c r="K30" s="75">
        <f>C33</f>
        <v>1</v>
      </c>
      <c r="L30" s="46"/>
      <c r="M30" s="11"/>
      <c r="N30" s="72" t="str">
        <f>text!A27</f>
        <v>SRB</v>
      </c>
      <c r="O30" s="73"/>
      <c r="P30" s="74">
        <f>IF(AND(ISNUMBER(I30),ISNUMBER(H31)),IF(I30&gt;H31,3,IF(I30=H31,1,0)),0)</f>
        <v>0</v>
      </c>
      <c r="Q30" s="74">
        <f>IF(AND(ISNUMBER(J30),ISNUMBER(H32)),IF(J30&gt;H32,3,IF(J30=H32,1,0)),0)</f>
        <v>3</v>
      </c>
      <c r="R30" s="75">
        <f>IF(AND(ISNUMBER(K30),ISNUMBER(H33)),IF(K30&gt;H33,3,IF(K30=H33,1,0)),0)</f>
        <v>0</v>
      </c>
      <c r="S30" s="46"/>
      <c r="T30" s="11"/>
      <c r="U30" s="4">
        <v>1</v>
      </c>
      <c r="V30" s="76" t="str">
        <f>text!B27</f>
        <v>Serbia</v>
      </c>
      <c r="W30" s="77">
        <f>IF(COUNT(H30:K30)=COUNT(H30:H33),COUNT(H30:H33),"")</f>
        <v>3</v>
      </c>
      <c r="X30" s="74">
        <f>SUM(O30:R30)</f>
        <v>3</v>
      </c>
      <c r="Y30" s="74">
        <f>SUM(H30:K30)</f>
        <v>2</v>
      </c>
      <c r="Z30" s="74">
        <f>SUM(H30:H33)</f>
        <v>3</v>
      </c>
      <c r="AA30" s="75">
        <f>Y30-Z30</f>
        <v>-1</v>
      </c>
      <c r="AB30" s="46"/>
      <c r="AC30" s="11"/>
      <c r="AD30" s="78">
        <f>BB30</f>
        <v>4</v>
      </c>
      <c r="AE30" s="46"/>
      <c r="AF30" s="11"/>
      <c r="AG30" s="76">
        <f>X30*10000+AA30*100+Y30</f>
        <v>29902</v>
      </c>
      <c r="AH30" s="76">
        <f>COUNTIF(AG30:AG33,AG30)</f>
        <v>1</v>
      </c>
      <c r="AI30" s="76" t="str">
        <f>IF(AH30=1,"x","")</f>
        <v>x</v>
      </c>
      <c r="AJ30" s="46"/>
      <c r="AK30" s="11"/>
      <c r="AL30" s="79">
        <f>IF(AI30="x",1,IF(AG31=AG30,2,IF(AG32=AG30,3,4)))</f>
        <v>1</v>
      </c>
      <c r="AM30" s="76">
        <f>INDEX(O30:R30,1,AL30)</f>
        <v>0</v>
      </c>
      <c r="AN30" s="80">
        <f>IF(OR(AH34=2,AH34=4),AM30/10,0)</f>
        <v>0</v>
      </c>
      <c r="AO30" s="46"/>
      <c r="AP30" s="11"/>
      <c r="AQ30" s="11"/>
      <c r="AR30" s="77">
        <f>X30-INDEX(O30:R30,1,AQ29)</f>
        <v>3</v>
      </c>
      <c r="AS30" s="76">
        <f>AA30-(INDEX(H30:K30,1,AQ29)-INDEX(H30:H33,AQ29,1))</f>
        <v>-1</v>
      </c>
      <c r="AT30" s="77">
        <f>Y30-INDEX(H30:K30,1,AQ29)</f>
        <v>2</v>
      </c>
      <c r="AU30" s="80">
        <f>IF(OR(AH34&lt;&gt;3,AI30="x"),0,AR30/10+AS30/1000+AT30/100000)</f>
        <v>0</v>
      </c>
      <c r="AV30" s="46"/>
      <c r="AW30" s="11"/>
      <c r="AX30" s="80">
        <f>AG30+AN30+AU30</f>
        <v>29902</v>
      </c>
      <c r="AY30" s="77">
        <f>IF(INDEX(AX30:AX33,U30)&gt;=INDEX(AX30:AX33,U31),U30,U31)</f>
        <v>2</v>
      </c>
      <c r="AZ30" s="74">
        <f>IF(INDEX(AX30:AX33,AY30)&gt;=INDEX(AX30:AX33,AY32),AY30,AY32)</f>
        <v>3</v>
      </c>
      <c r="BA30" s="75">
        <f>IF(INDEX(AX30:AX33,AZ30)&gt;=INDEX(AX30:AX33,AZ33),AZ30,AZ33)</f>
        <v>3</v>
      </c>
      <c r="BB30" s="78">
        <f>MATCH(U30,BA30:BA33,0)</f>
        <v>4</v>
      </c>
      <c r="BC30" s="77">
        <f>COUNTIF(AX30:AX33,AX30)</f>
        <v>1</v>
      </c>
      <c r="BD30" s="75" t="str">
        <f>IF(BC30=1,"x","")</f>
        <v>x</v>
      </c>
      <c r="BE30" s="76">
        <f>(BD30="x")*BB30</f>
        <v>4</v>
      </c>
      <c r="BF30" s="47"/>
      <c r="BG30" s="47"/>
    </row>
    <row r="31" spans="1:59" s="4" customFormat="1" ht="10.5">
      <c r="A31" s="70" t="str">
        <f>'Round 1'!A28</f>
        <v>Serbia</v>
      </c>
      <c r="B31" s="11">
        <f>IF(ISNUMBER('Round 1'!D28),'Round 1'!D28,"")</f>
        <v>1</v>
      </c>
      <c r="C31" s="11">
        <f>IF(ISNUMBER('Round 1'!F28),'Round 1'!F28,"")</f>
        <v>0</v>
      </c>
      <c r="D31" s="71" t="str">
        <f>'Round 1'!C28</f>
        <v>Saksamaa</v>
      </c>
      <c r="E31" s="46"/>
      <c r="F31" s="11"/>
      <c r="G31" s="81" t="str">
        <f>text!A28</f>
        <v>GHA</v>
      </c>
      <c r="H31" s="82">
        <f>C29</f>
        <v>1</v>
      </c>
      <c r="I31" s="83"/>
      <c r="J31" s="47">
        <f>B34</f>
        <v>0</v>
      </c>
      <c r="K31" s="84">
        <f>C32</f>
        <v>1</v>
      </c>
      <c r="L31" s="46"/>
      <c r="M31" s="11"/>
      <c r="N31" s="81" t="str">
        <f>text!A28</f>
        <v>GHA</v>
      </c>
      <c r="O31" s="82">
        <f>IF(AND(ISNUMBER(H31),ISNUMBER(I30)),IF(H31&gt;I30,3,IF(H31=I30,1,0)),0)</f>
        <v>3</v>
      </c>
      <c r="P31" s="83"/>
      <c r="Q31" s="47">
        <f>IF(AND(ISNUMBER(J31),ISNUMBER(I32)),IF(J31&gt;I32,3,IF(J31=I32,1,0)),0)</f>
        <v>0</v>
      </c>
      <c r="R31" s="84">
        <f>IF(AND(ISNUMBER(K31),ISNUMBER(I33)),IF(K31&gt;I33,3,IF(K31=I33,1,0)),0)</f>
        <v>1</v>
      </c>
      <c r="S31" s="46"/>
      <c r="T31" s="11"/>
      <c r="U31" s="4">
        <v>2</v>
      </c>
      <c r="V31" s="85" t="str">
        <f>text!B28</f>
        <v>Ghaana</v>
      </c>
      <c r="W31" s="82">
        <f>IF(COUNT(H31:K31)=COUNT(I30:I33),COUNT(I30:I33),"")</f>
        <v>3</v>
      </c>
      <c r="X31" s="47">
        <f>SUM(O31:R31)</f>
        <v>4</v>
      </c>
      <c r="Y31" s="47">
        <f>SUM(H31:K31)</f>
        <v>2</v>
      </c>
      <c r="Z31" s="47">
        <f>SUM(I30:I33)</f>
        <v>2</v>
      </c>
      <c r="AA31" s="84">
        <f>Y31-Z31</f>
        <v>0</v>
      </c>
      <c r="AB31" s="46"/>
      <c r="AC31" s="11"/>
      <c r="AD31" s="86">
        <f>BB31</f>
        <v>2</v>
      </c>
      <c r="AE31" s="46"/>
      <c r="AF31" s="11"/>
      <c r="AG31" s="85">
        <f>X31*10000+AA31*100+Y31</f>
        <v>40002</v>
      </c>
      <c r="AH31" s="85">
        <f>COUNTIF(AG30:AG33,AG31)</f>
        <v>1</v>
      </c>
      <c r="AI31" s="85" t="str">
        <f>IF(AH31=1,"x","")</f>
        <v>x</v>
      </c>
      <c r="AJ31" s="46"/>
      <c r="AK31" s="11"/>
      <c r="AL31" s="87">
        <f>IF(AI31="x",2,IF(AG32=AG31,3,IF(AG33=AG31,4,1)))</f>
        <v>2</v>
      </c>
      <c r="AM31" s="85">
        <f>INDEX(O31:R31,1,AL31)</f>
        <v>0</v>
      </c>
      <c r="AN31" s="88">
        <f>IF(OR(AH34=2,AH34=4),AM31/10,0)</f>
        <v>0</v>
      </c>
      <c r="AO31" s="46"/>
      <c r="AP31" s="11"/>
      <c r="AQ31" s="11"/>
      <c r="AR31" s="82">
        <f>X31-INDEX(O31:R31,1,AQ29)</f>
        <v>1</v>
      </c>
      <c r="AS31" s="85">
        <f>AA31-(INDEX(H31:K31,1,AQ29)-INDEX(I30:I33,AQ29))</f>
        <v>-1</v>
      </c>
      <c r="AT31" s="82">
        <f>Y31-INDEX(H31:K31,1,AQ29)</f>
        <v>1</v>
      </c>
      <c r="AU31" s="88">
        <f>IF(OR(AH34&lt;&gt;3,AI31="x"),0,AR31/10+AS31/1000+AT31/100000)</f>
        <v>0</v>
      </c>
      <c r="AV31" s="46"/>
      <c r="AW31" s="11"/>
      <c r="AX31" s="88">
        <f>AG31+AN31+AU31</f>
        <v>40002</v>
      </c>
      <c r="AY31" s="82">
        <f>IF(INDEX(AX30:AX33,U31)&lt;=INDEX(AX30:AX33,U30),U31,U30)</f>
        <v>1</v>
      </c>
      <c r="AZ31" s="47">
        <f>IF(INDEX(AX30:AX33,AY31)&gt;=INDEX(AX30:AX33,AY33),AY31,AY33)</f>
        <v>4</v>
      </c>
      <c r="BA31" s="84">
        <f>IF(INDEX(AX30:AX33,AZ31)&gt;=INDEX(AX30:AX33,AZ32),AZ31,AZ32)</f>
        <v>2</v>
      </c>
      <c r="BB31" s="86">
        <f>MATCH(U31,BA30:BA33,0)</f>
        <v>2</v>
      </c>
      <c r="BC31" s="82">
        <f>COUNTIF(AX30:AX33,AX31)</f>
        <v>1</v>
      </c>
      <c r="BD31" s="84" t="str">
        <f>IF(BC31=1,"x","")</f>
        <v>x</v>
      </c>
      <c r="BE31" s="85">
        <f>(BD31="x")*BB31</f>
        <v>2</v>
      </c>
      <c r="BF31" s="47"/>
      <c r="BG31" s="47"/>
    </row>
    <row r="32" spans="1:59" s="4" customFormat="1" ht="10.5">
      <c r="A32" s="70" t="str">
        <f>'Round 1'!A29</f>
        <v>Austraalia</v>
      </c>
      <c r="B32" s="11">
        <f>IF(ISNUMBER('Round 1'!D29),'Round 1'!D29,"")</f>
        <v>1</v>
      </c>
      <c r="C32" s="11">
        <f>IF(ISNUMBER('Round 1'!F29),'Round 1'!F29,"")</f>
        <v>1</v>
      </c>
      <c r="D32" s="71" t="str">
        <f>'Round 1'!C29</f>
        <v>Ghaana</v>
      </c>
      <c r="E32" s="46"/>
      <c r="F32" s="11"/>
      <c r="G32" s="81" t="str">
        <f>text!A29</f>
        <v>GER</v>
      </c>
      <c r="H32" s="82">
        <f>C31</f>
        <v>0</v>
      </c>
      <c r="I32" s="47">
        <f>C34</f>
        <v>1</v>
      </c>
      <c r="J32" s="83"/>
      <c r="K32" s="84">
        <f>B30</f>
        <v>4</v>
      </c>
      <c r="L32" s="46"/>
      <c r="M32" s="11"/>
      <c r="N32" s="81" t="str">
        <f>text!A29</f>
        <v>GER</v>
      </c>
      <c r="O32" s="82">
        <f>IF(AND(ISNUMBER(H32),ISNUMBER(J30)),IF(H32&gt;J30,3,IF(H32=J30,1,0)),0)</f>
        <v>0</v>
      </c>
      <c r="P32" s="47">
        <f>IF(AND(ISNUMBER(I32),ISNUMBER(J31)),IF(I32&gt;J31,3,IF(I32=J31,1,0)),0)</f>
        <v>3</v>
      </c>
      <c r="Q32" s="83"/>
      <c r="R32" s="84">
        <f>IF(AND(ISNUMBER(K32),ISNUMBER(J33)),IF(K32&gt;J33,3,IF(K32=J33,1,0)),0)</f>
        <v>3</v>
      </c>
      <c r="S32" s="46"/>
      <c r="T32" s="11"/>
      <c r="U32" s="4">
        <v>3</v>
      </c>
      <c r="V32" s="85" t="str">
        <f>text!B29</f>
        <v>Saksamaa</v>
      </c>
      <c r="W32" s="82">
        <f>IF(COUNT(H32:K32)=COUNT(J30:J33),COUNT(J30:J33),"")</f>
        <v>3</v>
      </c>
      <c r="X32" s="47">
        <f>SUM(O32:R32)</f>
        <v>6</v>
      </c>
      <c r="Y32" s="47">
        <f>SUM(H32:K32)</f>
        <v>5</v>
      </c>
      <c r="Z32" s="47">
        <f>SUM(J30:J33)</f>
        <v>1</v>
      </c>
      <c r="AA32" s="84">
        <f>Y32-Z32</f>
        <v>4</v>
      </c>
      <c r="AB32" s="46"/>
      <c r="AC32" s="11"/>
      <c r="AD32" s="86">
        <f>BB32</f>
        <v>1</v>
      </c>
      <c r="AE32" s="46"/>
      <c r="AF32" s="11"/>
      <c r="AG32" s="85">
        <f>X32*10000+AA32*100+Y32</f>
        <v>60405</v>
      </c>
      <c r="AH32" s="85">
        <f>COUNTIF(AG30:AG33,AG32)</f>
        <v>1</v>
      </c>
      <c r="AI32" s="85" t="str">
        <f>IF(AH32=1,"x","")</f>
        <v>x</v>
      </c>
      <c r="AJ32" s="46"/>
      <c r="AK32" s="11"/>
      <c r="AL32" s="87">
        <f>IF(AI32="x",3,IF(AG33=AG32,4,IF(AG31=AG32,2,1)))</f>
        <v>3</v>
      </c>
      <c r="AM32" s="85">
        <f>INDEX(O32:R32,1,AL32)</f>
        <v>0</v>
      </c>
      <c r="AN32" s="88">
        <f>IF(OR(AH34=2,AH34=4),AM32/10,0)</f>
        <v>0</v>
      </c>
      <c r="AO32" s="46"/>
      <c r="AP32" s="11"/>
      <c r="AQ32" s="11"/>
      <c r="AR32" s="82">
        <f>X32-INDEX(O32:R32,1,AQ29)</f>
        <v>6</v>
      </c>
      <c r="AS32" s="85">
        <f>AA32-(INDEX(H32:K32,1,AQ29)-INDEX(J30:J33,AQ29))</f>
        <v>5</v>
      </c>
      <c r="AT32" s="82">
        <f>Y32-INDEX(H32:K32,1,AQ29)</f>
        <v>5</v>
      </c>
      <c r="AU32" s="88">
        <f>IF(OR(AH34&lt;&gt;3,AI32="x"),0,AR32/10+AS32/1000+AT32/100000)</f>
        <v>0</v>
      </c>
      <c r="AV32" s="46"/>
      <c r="AW32" s="11"/>
      <c r="AX32" s="88">
        <f>AG32+AN32+AU32</f>
        <v>60405</v>
      </c>
      <c r="AY32" s="82">
        <f>IF(INDEX(AX30:AX33,U32)&gt;=INDEX(AX30:AX33,U33),U32,U33)</f>
        <v>3</v>
      </c>
      <c r="AZ32" s="47">
        <f>IF(INDEX(AX30:AX33,AY32)&lt;=INDEX(AX30:AX33,AY30),AY32,AY30)</f>
        <v>2</v>
      </c>
      <c r="BA32" s="84">
        <f>IF(INDEX(AX30:AX33,AZ32)&lt;=INDEX(AX30:AX33,AZ31),AZ32,AZ31)</f>
        <v>4</v>
      </c>
      <c r="BB32" s="86">
        <f>MATCH(U32,BA30:BA33,0)</f>
        <v>1</v>
      </c>
      <c r="BC32" s="82">
        <f>COUNTIF(AX30:AX33,AX32)</f>
        <v>1</v>
      </c>
      <c r="BD32" s="84" t="str">
        <f>IF(BC32=1,"x","")</f>
        <v>x</v>
      </c>
      <c r="BE32" s="85">
        <f>(BD32="x")*BB32</f>
        <v>1</v>
      </c>
      <c r="BF32" s="47"/>
      <c r="BG32" s="47"/>
    </row>
    <row r="33" spans="1:59" s="4" customFormat="1" ht="10.5">
      <c r="A33" s="70" t="str">
        <f>'Round 1'!A30</f>
        <v>Austraalia</v>
      </c>
      <c r="B33" s="11">
        <f>IF(ISNUMBER('Round 1'!D30),'Round 1'!D30,"")</f>
        <v>2</v>
      </c>
      <c r="C33" s="11">
        <f>IF(ISNUMBER('Round 1'!F30),'Round 1'!F30,"")</f>
        <v>1</v>
      </c>
      <c r="D33" s="71" t="str">
        <f>'Round 1'!C30</f>
        <v>Serbia</v>
      </c>
      <c r="E33" s="89"/>
      <c r="F33" s="47"/>
      <c r="G33" s="90" t="str">
        <f>text!A30</f>
        <v>AUS</v>
      </c>
      <c r="H33" s="91">
        <f>B33</f>
        <v>2</v>
      </c>
      <c r="I33" s="92">
        <f>B32</f>
        <v>1</v>
      </c>
      <c r="J33" s="92">
        <f>C30</f>
        <v>0</v>
      </c>
      <c r="K33" s="93"/>
      <c r="L33" s="89"/>
      <c r="M33" s="47"/>
      <c r="N33" s="90" t="str">
        <f>text!A30</f>
        <v>AUS</v>
      </c>
      <c r="O33" s="91">
        <f>IF(AND(ISNUMBER(H33),ISNUMBER(K30)),IF(H33&gt;K30,3,IF(H33=K30,1,0)),0)</f>
        <v>3</v>
      </c>
      <c r="P33" s="92">
        <f>IF(AND(ISNUMBER(I33),ISNUMBER(K31)),IF(I33&gt;K31,3,IF(I33=K31,1,0)),0)</f>
        <v>1</v>
      </c>
      <c r="Q33" s="92">
        <f>IF(AND(ISNUMBER(J33),ISNUMBER(K32)),IF(J33&gt;K32,3,IF(J33=K32,1,0)),0)</f>
        <v>0</v>
      </c>
      <c r="R33" s="93"/>
      <c r="S33" s="89"/>
      <c r="T33" s="47"/>
      <c r="U33" s="4">
        <v>4</v>
      </c>
      <c r="V33" s="94" t="str">
        <f>text!B30</f>
        <v>Austraalia</v>
      </c>
      <c r="W33" s="91">
        <f>IF(COUNT(H33:K33)=COUNT(K30:K33),COUNT(K30:K33),"")</f>
        <v>3</v>
      </c>
      <c r="X33" s="92">
        <f>SUM(O33:R33)</f>
        <v>4</v>
      </c>
      <c r="Y33" s="92">
        <f>SUM(H33:K33)</f>
        <v>3</v>
      </c>
      <c r="Z33" s="92">
        <f>SUM(K30:K33)</f>
        <v>6</v>
      </c>
      <c r="AA33" s="95">
        <f>Y33-Z33</f>
        <v>-3</v>
      </c>
      <c r="AB33" s="89"/>
      <c r="AC33" s="47"/>
      <c r="AD33" s="96">
        <f>BB33</f>
        <v>3</v>
      </c>
      <c r="AE33" s="89"/>
      <c r="AF33" s="47"/>
      <c r="AG33" s="94">
        <f>X33*10000+AA33*100+Y33</f>
        <v>39703</v>
      </c>
      <c r="AH33" s="94">
        <f>COUNTIF(AG30:AG33,AG33)</f>
        <v>1</v>
      </c>
      <c r="AI33" s="94" t="str">
        <f>IF(AH33=1,"x","")</f>
        <v>x</v>
      </c>
      <c r="AJ33" s="89"/>
      <c r="AK33" s="47"/>
      <c r="AL33" s="97">
        <f>IF(AI33="x",4,IF(AG30=AG33,1,IF(AG31=AG33,2,3)))</f>
        <v>4</v>
      </c>
      <c r="AM33" s="94">
        <f>INDEX(O33:R33,1,AL33)</f>
        <v>0</v>
      </c>
      <c r="AN33" s="98">
        <f>IF(OR(AH34=2,AH34=4),AM33/10,0)</f>
        <v>0</v>
      </c>
      <c r="AO33" s="89"/>
      <c r="AP33" s="47"/>
      <c r="AQ33" s="47"/>
      <c r="AR33" s="91">
        <f>X33-INDEX(O33:R33,1,AQ29)</f>
        <v>1</v>
      </c>
      <c r="AS33" s="94">
        <f>AA33-(INDEX(H33:K33,1,AQ29)-INDEX(K30:K33,AQ29))</f>
        <v>-4</v>
      </c>
      <c r="AT33" s="91">
        <f>Y33-INDEX(H33:K33,1,AQ29)</f>
        <v>1</v>
      </c>
      <c r="AU33" s="98">
        <f>IF(OR(AH34&lt;&gt;3,AI33="x"),0,AR33/10+AS33/1000+AT33/100000)</f>
        <v>0</v>
      </c>
      <c r="AV33" s="89"/>
      <c r="AW33" s="47"/>
      <c r="AX33" s="98">
        <f>AG33+AN33+AU33</f>
        <v>39703</v>
      </c>
      <c r="AY33" s="91">
        <f>IF(INDEX(AX30:AX33,U33)&lt;=INDEX(AX30:AX33,U32),U33,U32)</f>
        <v>4</v>
      </c>
      <c r="AZ33" s="92">
        <f>IF(INDEX(AX30:AX33,AY33)&lt;=INDEX(AX30:AX33,AY31),AY33,AY31)</f>
        <v>1</v>
      </c>
      <c r="BA33" s="95">
        <f>IF(INDEX(AX30:AX33,AZ33)&lt;=INDEX(AX30:AX33,AZ30),AZ33,AZ30)</f>
        <v>1</v>
      </c>
      <c r="BB33" s="96">
        <f>MATCH(U33,BA30:BA33,0)</f>
        <v>3</v>
      </c>
      <c r="BC33" s="91">
        <f>COUNTIF(AX30:AX33,AX33)</f>
        <v>1</v>
      </c>
      <c r="BD33" s="95" t="str">
        <f>IF(BC33=1,"x","")</f>
        <v>x</v>
      </c>
      <c r="BE33" s="85">
        <f>(BD33="x")*BB33</f>
        <v>3</v>
      </c>
      <c r="BF33" s="47"/>
      <c r="BG33" s="47"/>
    </row>
    <row r="34" spans="1:59" s="4" customFormat="1" ht="10.5">
      <c r="A34" s="99" t="str">
        <f>'Round 1'!A31</f>
        <v>Ghaana</v>
      </c>
      <c r="B34" s="100">
        <f>IF(ISNUMBER('Round 1'!D31),'Round 1'!D31,"")</f>
        <v>0</v>
      </c>
      <c r="C34" s="100">
        <f>IF(ISNUMBER('Round 1'!F31),'Round 1'!F31,"")</f>
        <v>1</v>
      </c>
      <c r="D34" s="101" t="str">
        <f>'Round 1'!C31</f>
        <v>Saksamaa</v>
      </c>
      <c r="E34" s="46"/>
      <c r="F34" s="11"/>
      <c r="G34" s="5"/>
      <c r="H34" s="5"/>
      <c r="I34" s="5"/>
      <c r="J34" s="5"/>
      <c r="K34" s="11"/>
      <c r="L34" s="46"/>
      <c r="M34" s="11"/>
      <c r="N34" s="5"/>
      <c r="R34" s="47"/>
      <c r="S34" s="46"/>
      <c r="T34" s="11"/>
      <c r="V34" s="6" t="s">
        <v>61</v>
      </c>
      <c r="W34" s="4" t="b">
        <f>SUM(W30:W33)=12</f>
        <v>1</v>
      </c>
      <c r="AB34" s="46"/>
      <c r="AC34" s="11"/>
      <c r="AD34" s="96" t="str">
        <f>BF34</f>
        <v>ranking clear</v>
      </c>
      <c r="AE34" s="46"/>
      <c r="AF34" s="11"/>
      <c r="AG34" s="102" t="s">
        <v>62</v>
      </c>
      <c r="AH34" s="103">
        <f>MOD(MIN(AH30:AH33)*MAX(AH30:AH33),11)</f>
        <v>1</v>
      </c>
      <c r="AJ34" s="46"/>
      <c r="AK34" s="11"/>
      <c r="AL34" s="11"/>
      <c r="AM34" s="47"/>
      <c r="AN34" s="47"/>
      <c r="AO34" s="46"/>
      <c r="AP34" s="11"/>
      <c r="AQ34" s="11"/>
      <c r="AV34" s="46"/>
      <c r="AW34" s="11"/>
      <c r="BD34" s="104">
        <f>COUNTIF(BD30:BD33,"x")</f>
        <v>4</v>
      </c>
      <c r="BE34" s="103">
        <f>SUM(BE30:BE33)</f>
        <v>10</v>
      </c>
      <c r="BF34" s="103" t="str">
        <f>IF(W34,IF(BD34&gt;=3,text!B$71,IF(AND(BD34=2,BE34=3),text!B$72,text!B$73)),"")</f>
        <v>ranking clear</v>
      </c>
      <c r="BG34" s="47"/>
    </row>
    <row r="35" spans="1:107" ht="10.5">
      <c r="A35" s="10"/>
      <c r="E35" s="46"/>
      <c r="L35" s="46"/>
      <c r="S35" s="46"/>
      <c r="AB35" s="46"/>
      <c r="AE35" s="46"/>
      <c r="AG35" s="49"/>
      <c r="AH35" s="49"/>
      <c r="AJ35" s="46"/>
      <c r="AK35" s="11"/>
      <c r="AL35" s="49"/>
      <c r="AM35" s="49"/>
      <c r="AN35" s="49"/>
      <c r="AO35" s="46"/>
      <c r="AP35" s="11"/>
      <c r="AQ35" s="49"/>
      <c r="AR35" s="124"/>
      <c r="AS35" s="124"/>
      <c r="AT35" s="124"/>
      <c r="AU35" s="49"/>
      <c r="AV35" s="46"/>
      <c r="AW35" s="11"/>
      <c r="AX35" s="47"/>
      <c r="AY35" s="125"/>
      <c r="AZ35" s="125"/>
      <c r="BA35" s="125"/>
      <c r="BB35" s="105"/>
      <c r="BC35" s="124"/>
      <c r="BD35" s="124"/>
      <c r="BE35" s="124"/>
      <c r="BZ35" s="47"/>
      <c r="CA35" s="47"/>
      <c r="CK35" s="47"/>
      <c r="CL35" s="47"/>
      <c r="CO35" s="47"/>
      <c r="CP35" s="47"/>
      <c r="CQ35" s="47"/>
      <c r="CR35" s="47"/>
      <c r="CS35" s="47"/>
      <c r="CW35" s="47"/>
      <c r="CX35" s="47"/>
      <c r="CY35" s="47"/>
      <c r="CZ35" s="47"/>
      <c r="DA35" s="47"/>
      <c r="DB35" s="47"/>
      <c r="DC35" s="47"/>
    </row>
    <row r="36" spans="1:107" ht="10.5">
      <c r="A36" s="10" t="str">
        <f>text!B34</f>
        <v>GROUP E</v>
      </c>
      <c r="E36" s="46"/>
      <c r="L36" s="46"/>
      <c r="S36" s="46"/>
      <c r="AB36" s="46"/>
      <c r="AE36" s="46"/>
      <c r="AG36" s="49"/>
      <c r="AH36" s="49"/>
      <c r="AJ36" s="46"/>
      <c r="AK36" s="11"/>
      <c r="AL36" s="49"/>
      <c r="AM36" s="49"/>
      <c r="AN36" s="49"/>
      <c r="AO36" s="46"/>
      <c r="AP36" s="11"/>
      <c r="AQ36" s="49"/>
      <c r="AR36" s="124"/>
      <c r="AS36" s="124"/>
      <c r="AT36" s="124"/>
      <c r="AU36" s="49"/>
      <c r="AV36" s="46"/>
      <c r="AW36" s="11"/>
      <c r="AX36" s="47"/>
      <c r="AY36" s="125"/>
      <c r="AZ36" s="125"/>
      <c r="BA36" s="125"/>
      <c r="BB36" s="105"/>
      <c r="BC36" s="124"/>
      <c r="BD36" s="124"/>
      <c r="BE36" s="124"/>
      <c r="BZ36" s="47"/>
      <c r="CA36" s="47"/>
      <c r="CK36" s="47"/>
      <c r="CL36" s="47"/>
      <c r="CO36" s="47"/>
      <c r="CP36" s="47"/>
      <c r="CQ36" s="47"/>
      <c r="CR36" s="47"/>
      <c r="CS36" s="47"/>
      <c r="CW36" s="47"/>
      <c r="CX36" s="47"/>
      <c r="CY36" s="47"/>
      <c r="CZ36" s="47"/>
      <c r="DA36" s="47"/>
      <c r="DB36" s="47"/>
      <c r="DC36" s="47"/>
    </row>
    <row r="37" spans="1:50" s="4" customFormat="1" ht="21.75">
      <c r="A37" s="57" t="str">
        <f>'Round 1'!Q2</f>
        <v>Holland</v>
      </c>
      <c r="B37" s="58">
        <f>IF(ISNUMBER('Round 1'!T2),'Round 1'!T2,"")</f>
        <v>2</v>
      </c>
      <c r="C37" s="58">
        <f>IF(ISNUMBER('Round 1'!V2),'Round 1'!V2,"")</f>
        <v>0</v>
      </c>
      <c r="D37" s="59" t="str">
        <f>'Round 1'!S2</f>
        <v>Taani</v>
      </c>
      <c r="E37" s="60"/>
      <c r="F37" s="61"/>
      <c r="G37" s="62">
        <f>SUM(H38:K41)</f>
        <v>12</v>
      </c>
      <c r="H37" s="63" t="str">
        <f>text!A35</f>
        <v>NED</v>
      </c>
      <c r="I37" s="64" t="str">
        <f>text!A36</f>
        <v>DEN</v>
      </c>
      <c r="J37" s="64" t="str">
        <f>text!A37</f>
        <v>JPN</v>
      </c>
      <c r="K37" s="65" t="str">
        <f>text!A38</f>
        <v>CMR</v>
      </c>
      <c r="L37" s="60"/>
      <c r="M37" s="61"/>
      <c r="N37" s="62">
        <f>SUM(O38:R41)</f>
        <v>18</v>
      </c>
      <c r="O37" s="63" t="str">
        <f>text!A35</f>
        <v>NED</v>
      </c>
      <c r="P37" s="64" t="str">
        <f>text!A36</f>
        <v>DEN</v>
      </c>
      <c r="Q37" s="64" t="str">
        <f>text!A37</f>
        <v>JPN</v>
      </c>
      <c r="R37" s="65" t="str">
        <f>text!A38</f>
        <v>CMR</v>
      </c>
      <c r="S37" s="60"/>
      <c r="T37" s="61"/>
      <c r="W37" s="66" t="str">
        <f>text!A$64</f>
        <v>M</v>
      </c>
      <c r="X37" s="67" t="str">
        <f>text!A$65</f>
        <v>Pts</v>
      </c>
      <c r="Y37" s="67" t="str">
        <f>text!A$66</f>
        <v>Löödud</v>
      </c>
      <c r="Z37" s="67" t="str">
        <f>text!A$67</f>
        <v>Sisse</v>
      </c>
      <c r="AA37" s="68" t="str">
        <f>text!A$68</f>
        <v>Vahe</v>
      </c>
      <c r="AB37" s="60"/>
      <c r="AC37" s="61"/>
      <c r="AD37" s="5"/>
      <c r="AE37" s="60"/>
      <c r="AF37" s="61"/>
      <c r="AJ37" s="60"/>
      <c r="AK37" s="61"/>
      <c r="AL37" s="61"/>
      <c r="AM37" s="47"/>
      <c r="AN37" s="47"/>
      <c r="AO37" s="60"/>
      <c r="AP37" s="61"/>
      <c r="AQ37" s="69">
        <f>MATCH(1,AH38:AH41,0)</f>
        <v>1</v>
      </c>
      <c r="AV37" s="60"/>
      <c r="AW37" s="61"/>
      <c r="AX37" s="48"/>
    </row>
    <row r="38" spans="1:59" s="4" customFormat="1" ht="10.5">
      <c r="A38" s="70" t="str">
        <f>'Round 1'!Q3</f>
        <v>Jaapan</v>
      </c>
      <c r="B38" s="11">
        <f>IF(ISNUMBER('Round 1'!T3),'Round 1'!T3,"")</f>
        <v>1</v>
      </c>
      <c r="C38" s="11">
        <f>IF(ISNUMBER('Round 1'!V3),'Round 1'!V3,"")</f>
        <v>0</v>
      </c>
      <c r="D38" s="71" t="str">
        <f>'Round 1'!S3</f>
        <v>Kamerun</v>
      </c>
      <c r="E38" s="46"/>
      <c r="F38" s="11"/>
      <c r="G38" s="72" t="str">
        <f>text!A35</f>
        <v>NED</v>
      </c>
      <c r="H38" s="73"/>
      <c r="I38" s="74">
        <f>B37</f>
        <v>2</v>
      </c>
      <c r="J38" s="74">
        <f>B39</f>
        <v>1</v>
      </c>
      <c r="K38" s="75">
        <f>C41</f>
        <v>2</v>
      </c>
      <c r="L38" s="46"/>
      <c r="M38" s="11"/>
      <c r="N38" s="72" t="str">
        <f>text!A35</f>
        <v>NED</v>
      </c>
      <c r="O38" s="73"/>
      <c r="P38" s="74">
        <f>IF(AND(ISNUMBER(I38),ISNUMBER(H39)),IF(I38&gt;H39,3,IF(I38=H39,1,0)),0)</f>
        <v>3</v>
      </c>
      <c r="Q38" s="74">
        <f>IF(AND(ISNUMBER(J38),ISNUMBER(H40)),IF(J38&gt;H40,3,IF(J38=H40,1,0)),0)</f>
        <v>3</v>
      </c>
      <c r="R38" s="75">
        <f>IF(AND(ISNUMBER(K38),ISNUMBER(H41)),IF(K38&gt;H41,3,IF(K38=H41,1,0)),0)</f>
        <v>3</v>
      </c>
      <c r="S38" s="46"/>
      <c r="T38" s="11"/>
      <c r="U38" s="4">
        <v>1</v>
      </c>
      <c r="V38" s="76" t="str">
        <f>text!B35</f>
        <v>Holland</v>
      </c>
      <c r="W38" s="77">
        <f>IF(COUNT(H38:K38)=COUNT(H38:H41),COUNT(H38:H41),"")</f>
        <v>3</v>
      </c>
      <c r="X38" s="74">
        <f>SUM(O38:R38)</f>
        <v>9</v>
      </c>
      <c r="Y38" s="74">
        <f>SUM(H38:K38)</f>
        <v>5</v>
      </c>
      <c r="Z38" s="74">
        <f>SUM(H38:H41)</f>
        <v>1</v>
      </c>
      <c r="AA38" s="75">
        <f>Y38-Z38</f>
        <v>4</v>
      </c>
      <c r="AB38" s="46"/>
      <c r="AC38" s="11"/>
      <c r="AD38" s="78">
        <f>BB38</f>
        <v>1</v>
      </c>
      <c r="AE38" s="46"/>
      <c r="AF38" s="11"/>
      <c r="AG38" s="76">
        <f>X38*10000+AA38*100+Y38</f>
        <v>90405</v>
      </c>
      <c r="AH38" s="76">
        <f>COUNTIF(AG38:AG41,AG38)</f>
        <v>1</v>
      </c>
      <c r="AI38" s="76" t="str">
        <f>IF(AH38=1,"x","")</f>
        <v>x</v>
      </c>
      <c r="AJ38" s="46"/>
      <c r="AK38" s="11"/>
      <c r="AL38" s="79">
        <f>IF(AI38="x",1,IF(AG39=AG38,2,IF(AG40=AG38,3,4)))</f>
        <v>1</v>
      </c>
      <c r="AM38" s="76">
        <f>INDEX(O38:R38,1,AL38)</f>
        <v>0</v>
      </c>
      <c r="AN38" s="80">
        <f>IF(OR(AH42=2,AH42=4),AM38/10,0)</f>
        <v>0</v>
      </c>
      <c r="AO38" s="46"/>
      <c r="AP38" s="11"/>
      <c r="AQ38" s="11"/>
      <c r="AR38" s="77">
        <f>X38-INDEX(O38:R38,1,AQ37)</f>
        <v>9</v>
      </c>
      <c r="AS38" s="76">
        <f>AA38-(INDEX(H38:K38,1,AQ37)-INDEX(H38:H41,AQ37,1))</f>
        <v>4</v>
      </c>
      <c r="AT38" s="77">
        <f>Y38-INDEX(H38:K38,1,AQ37)</f>
        <v>5</v>
      </c>
      <c r="AU38" s="80">
        <f>IF(OR(AH42&lt;&gt;3,AI38="x"),0,AR38/10+AS38/1000+AT38/100000)</f>
        <v>0</v>
      </c>
      <c r="AV38" s="46"/>
      <c r="AW38" s="11"/>
      <c r="AX38" s="80">
        <f>AG38+AN38+AU38</f>
        <v>90405</v>
      </c>
      <c r="AY38" s="77">
        <f>IF(INDEX(AX38:AX41,U38)&gt;=INDEX(AX38:AX41,U39),U38,U39)</f>
        <v>1</v>
      </c>
      <c r="AZ38" s="74">
        <f>IF(INDEX(AX38:AX41,AY38)&gt;=INDEX(AX38:AX41,AY40),AY38,AY40)</f>
        <v>1</v>
      </c>
      <c r="BA38" s="75">
        <f>IF(INDEX(AX38:AX41,AZ38)&gt;=INDEX(AX38:AX41,AZ41),AZ38,AZ41)</f>
        <v>1</v>
      </c>
      <c r="BB38" s="78">
        <f>MATCH(U38,BA38:BA41,0)</f>
        <v>1</v>
      </c>
      <c r="BC38" s="77">
        <f>COUNTIF(AX38:AX41,AX38)</f>
        <v>1</v>
      </c>
      <c r="BD38" s="75" t="str">
        <f>IF(BC38=1,"x","")</f>
        <v>x</v>
      </c>
      <c r="BE38" s="76">
        <f>(BD38="x")*BB38</f>
        <v>1</v>
      </c>
      <c r="BF38" s="47"/>
      <c r="BG38" s="47"/>
    </row>
    <row r="39" spans="1:59" s="4" customFormat="1" ht="10.5">
      <c r="A39" s="70" t="str">
        <f>'Round 1'!Q4</f>
        <v>Holland</v>
      </c>
      <c r="B39" s="11">
        <f>IF(ISNUMBER('Round 1'!T4),'Round 1'!T4,"")</f>
        <v>1</v>
      </c>
      <c r="C39" s="11">
        <f>IF(ISNUMBER('Round 1'!V4),'Round 1'!V4,"")</f>
        <v>0</v>
      </c>
      <c r="D39" s="71" t="str">
        <f>'Round 1'!S4</f>
        <v>Jaapan</v>
      </c>
      <c r="E39" s="46"/>
      <c r="F39" s="11"/>
      <c r="G39" s="81" t="str">
        <f>text!A36</f>
        <v>DEN</v>
      </c>
      <c r="H39" s="82">
        <f>C37</f>
        <v>0</v>
      </c>
      <c r="I39" s="83"/>
      <c r="J39" s="47">
        <f>B42</f>
        <v>0</v>
      </c>
      <c r="K39" s="84">
        <f>C40</f>
        <v>2</v>
      </c>
      <c r="L39" s="46"/>
      <c r="M39" s="11"/>
      <c r="N39" s="81" t="str">
        <f>text!A36</f>
        <v>DEN</v>
      </c>
      <c r="O39" s="82">
        <f>IF(AND(ISNUMBER(H39),ISNUMBER(I38)),IF(H39&gt;I38,3,IF(H39=I38,1,0)),0)</f>
        <v>0</v>
      </c>
      <c r="P39" s="83"/>
      <c r="Q39" s="47">
        <f>IF(AND(ISNUMBER(J39),ISNUMBER(I40)),IF(J39&gt;I40,3,IF(J39=I40,1,0)),0)</f>
        <v>0</v>
      </c>
      <c r="R39" s="84">
        <f>IF(AND(ISNUMBER(K39),ISNUMBER(I41)),IF(K39&gt;I41,3,IF(K39=I41,1,0)),0)</f>
        <v>3</v>
      </c>
      <c r="S39" s="46"/>
      <c r="T39" s="11"/>
      <c r="U39" s="4">
        <v>2</v>
      </c>
      <c r="V39" s="85" t="str">
        <f>text!B36</f>
        <v>Taani</v>
      </c>
      <c r="W39" s="82">
        <f>IF(COUNT(H39:K39)=COUNT(I38:I41),COUNT(I38:I41),"")</f>
        <v>3</v>
      </c>
      <c r="X39" s="47">
        <f>SUM(O39:R39)</f>
        <v>3</v>
      </c>
      <c r="Y39" s="47">
        <f>SUM(H39:K39)</f>
        <v>2</v>
      </c>
      <c r="Z39" s="47">
        <f>SUM(I38:I41)</f>
        <v>5</v>
      </c>
      <c r="AA39" s="84">
        <f>Y39-Z39</f>
        <v>-3</v>
      </c>
      <c r="AB39" s="46"/>
      <c r="AC39" s="11"/>
      <c r="AD39" s="86">
        <f>BB39</f>
        <v>3</v>
      </c>
      <c r="AE39" s="46"/>
      <c r="AF39" s="11"/>
      <c r="AG39" s="85">
        <f>X39*10000+AA39*100+Y39</f>
        <v>29702</v>
      </c>
      <c r="AH39" s="85">
        <f>COUNTIF(AG38:AG41,AG39)</f>
        <v>1</v>
      </c>
      <c r="AI39" s="85" t="str">
        <f>IF(AH39=1,"x","")</f>
        <v>x</v>
      </c>
      <c r="AJ39" s="46"/>
      <c r="AK39" s="11"/>
      <c r="AL39" s="87">
        <f>IF(AI39="x",2,IF(AG40=AG39,3,IF(AG41=AG39,4,1)))</f>
        <v>2</v>
      </c>
      <c r="AM39" s="85">
        <f>INDEX(O39:R39,1,AL39)</f>
        <v>0</v>
      </c>
      <c r="AN39" s="88">
        <f>IF(OR(AH42=2,AH42=4),AM39/10,0)</f>
        <v>0</v>
      </c>
      <c r="AO39" s="46"/>
      <c r="AP39" s="11"/>
      <c r="AQ39" s="11"/>
      <c r="AR39" s="82">
        <f>X39-INDEX(O39:R39,1,AQ37)</f>
        <v>3</v>
      </c>
      <c r="AS39" s="85">
        <f>AA39-(INDEX(H39:K39,1,AQ37)-INDEX(I38:I41,AQ37))</f>
        <v>-1</v>
      </c>
      <c r="AT39" s="82">
        <f>Y39-INDEX(H39:K39,1,AQ37)</f>
        <v>2</v>
      </c>
      <c r="AU39" s="88">
        <f>IF(OR(AH42&lt;&gt;3,AI39="x"),0,AR39/10+AS39/1000+AT39/100000)</f>
        <v>0</v>
      </c>
      <c r="AV39" s="46"/>
      <c r="AW39" s="11"/>
      <c r="AX39" s="88">
        <f>AG39+AN39+AU39</f>
        <v>29702</v>
      </c>
      <c r="AY39" s="82">
        <f>IF(INDEX(AX38:AX41,U39)&lt;=INDEX(AX38:AX41,U38),U39,U38)</f>
        <v>2</v>
      </c>
      <c r="AZ39" s="47">
        <f>IF(INDEX(AX38:AX41,AY39)&gt;=INDEX(AX38:AX41,AY41),AY39,AY41)</f>
        <v>2</v>
      </c>
      <c r="BA39" s="84">
        <f>IF(INDEX(AX38:AX41,AZ39)&gt;=INDEX(AX38:AX41,AZ40),AZ39,AZ40)</f>
        <v>3</v>
      </c>
      <c r="BB39" s="86">
        <f>MATCH(U39,BA38:BA41,0)</f>
        <v>3</v>
      </c>
      <c r="BC39" s="82">
        <f>COUNTIF(AX38:AX41,AX39)</f>
        <v>1</v>
      </c>
      <c r="BD39" s="84" t="str">
        <f>IF(BC39=1,"x","")</f>
        <v>x</v>
      </c>
      <c r="BE39" s="85">
        <f>(BD39="x")*BB39</f>
        <v>3</v>
      </c>
      <c r="BF39" s="47"/>
      <c r="BG39" s="47"/>
    </row>
    <row r="40" spans="1:59" s="4" customFormat="1" ht="10.5">
      <c r="A40" s="70" t="str">
        <f>'Round 1'!Q5</f>
        <v>Kamerun</v>
      </c>
      <c r="B40" s="11">
        <f>IF(ISNUMBER('Round 1'!T5),'Round 1'!T5,"")</f>
        <v>1</v>
      </c>
      <c r="C40" s="11">
        <f>IF(ISNUMBER('Round 1'!V5),'Round 1'!V5,"")</f>
        <v>2</v>
      </c>
      <c r="D40" s="71" t="str">
        <f>'Round 1'!S5</f>
        <v>Taani</v>
      </c>
      <c r="E40" s="46"/>
      <c r="F40" s="11"/>
      <c r="G40" s="81" t="str">
        <f>text!A37</f>
        <v>JPN</v>
      </c>
      <c r="H40" s="82">
        <f>C39</f>
        <v>0</v>
      </c>
      <c r="I40" s="47">
        <f>C42</f>
        <v>2</v>
      </c>
      <c r="J40" s="83"/>
      <c r="K40" s="84">
        <f>B38</f>
        <v>1</v>
      </c>
      <c r="L40" s="46"/>
      <c r="M40" s="11"/>
      <c r="N40" s="81" t="str">
        <f>text!A37</f>
        <v>JPN</v>
      </c>
      <c r="O40" s="82">
        <f>IF(AND(ISNUMBER(H40),ISNUMBER(J38)),IF(H40&gt;J38,3,IF(H40=J38,1,0)),0)</f>
        <v>0</v>
      </c>
      <c r="P40" s="47">
        <f>IF(AND(ISNUMBER(I40),ISNUMBER(J39)),IF(I40&gt;J39,3,IF(I40=J39,1,0)),0)</f>
        <v>3</v>
      </c>
      <c r="Q40" s="83"/>
      <c r="R40" s="84">
        <f>IF(AND(ISNUMBER(K40),ISNUMBER(J41)),IF(K40&gt;J41,3,IF(K40=J41,1,0)),0)</f>
        <v>3</v>
      </c>
      <c r="S40" s="46"/>
      <c r="T40" s="11"/>
      <c r="U40" s="4">
        <v>3</v>
      </c>
      <c r="V40" s="85" t="str">
        <f>text!B37</f>
        <v>Jaapan</v>
      </c>
      <c r="W40" s="82">
        <f>IF(COUNT(H40:K40)=COUNT(J38:J41),COUNT(J38:J41),"")</f>
        <v>3</v>
      </c>
      <c r="X40" s="47">
        <f>SUM(O40:R40)</f>
        <v>6</v>
      </c>
      <c r="Y40" s="47">
        <f>SUM(H40:K40)</f>
        <v>3</v>
      </c>
      <c r="Z40" s="47">
        <f>SUM(J38:J41)</f>
        <v>1</v>
      </c>
      <c r="AA40" s="84">
        <f>Y40-Z40</f>
        <v>2</v>
      </c>
      <c r="AB40" s="46"/>
      <c r="AC40" s="11"/>
      <c r="AD40" s="86">
        <f>BB40</f>
        <v>2</v>
      </c>
      <c r="AE40" s="46"/>
      <c r="AF40" s="11"/>
      <c r="AG40" s="85">
        <f>X40*10000+AA40*100+Y40</f>
        <v>60203</v>
      </c>
      <c r="AH40" s="85">
        <f>COUNTIF(AG38:AG41,AG40)</f>
        <v>1</v>
      </c>
      <c r="AI40" s="85" t="str">
        <f>IF(AH40=1,"x","")</f>
        <v>x</v>
      </c>
      <c r="AJ40" s="46"/>
      <c r="AK40" s="11"/>
      <c r="AL40" s="87">
        <f>IF(AI40="x",3,IF(AG41=AG40,4,IF(AG39=AG40,2,1)))</f>
        <v>3</v>
      </c>
      <c r="AM40" s="85">
        <f>INDEX(O40:R40,1,AL40)</f>
        <v>0</v>
      </c>
      <c r="AN40" s="88">
        <f>IF(OR(AH42=2,AH42=4),AM40/10,0)</f>
        <v>0</v>
      </c>
      <c r="AO40" s="46"/>
      <c r="AP40" s="11"/>
      <c r="AQ40" s="11"/>
      <c r="AR40" s="82">
        <f>X40-INDEX(O40:R40,1,AQ37)</f>
        <v>6</v>
      </c>
      <c r="AS40" s="85">
        <f>AA40-(INDEX(H40:K40,1,AQ37)-INDEX(J38:J41,AQ37))</f>
        <v>3</v>
      </c>
      <c r="AT40" s="82">
        <f>Y40-INDEX(H40:K40,1,AQ37)</f>
        <v>3</v>
      </c>
      <c r="AU40" s="88">
        <f>IF(OR(AH42&lt;&gt;3,AI40="x"),0,AR40/10+AS40/1000+AT40/100000)</f>
        <v>0</v>
      </c>
      <c r="AV40" s="46"/>
      <c r="AW40" s="11"/>
      <c r="AX40" s="88">
        <f>AG40+AN40+AU40</f>
        <v>60203</v>
      </c>
      <c r="AY40" s="82">
        <f>IF(INDEX(AX38:AX41,U40)&gt;=INDEX(AX38:AX41,U41),U40,U41)</f>
        <v>3</v>
      </c>
      <c r="AZ40" s="47">
        <f>IF(INDEX(AX38:AX41,AY40)&lt;=INDEX(AX38:AX41,AY38),AY40,AY38)</f>
        <v>3</v>
      </c>
      <c r="BA40" s="84">
        <f>IF(INDEX(AX38:AX41,AZ40)&lt;=INDEX(AX38:AX41,AZ39),AZ40,AZ39)</f>
        <v>2</v>
      </c>
      <c r="BB40" s="86">
        <f>MATCH(U40,BA38:BA41,0)</f>
        <v>2</v>
      </c>
      <c r="BC40" s="82">
        <f>COUNTIF(AX38:AX41,AX40)</f>
        <v>1</v>
      </c>
      <c r="BD40" s="84" t="str">
        <f>IF(BC40=1,"x","")</f>
        <v>x</v>
      </c>
      <c r="BE40" s="85">
        <f>(BD40="x")*BB40</f>
        <v>2</v>
      </c>
      <c r="BF40" s="47"/>
      <c r="BG40" s="47"/>
    </row>
    <row r="41" spans="1:59" s="4" customFormat="1" ht="10.5">
      <c r="A41" s="70" t="str">
        <f>'Round 1'!Q6</f>
        <v>Kamerun</v>
      </c>
      <c r="B41" s="11">
        <f>IF(ISNUMBER('Round 1'!T6),'Round 1'!T6,"")</f>
        <v>1</v>
      </c>
      <c r="C41" s="11">
        <f>IF(ISNUMBER('Round 1'!V6),'Round 1'!V6,"")</f>
        <v>2</v>
      </c>
      <c r="D41" s="71" t="str">
        <f>'Round 1'!S6</f>
        <v>Holland</v>
      </c>
      <c r="E41" s="89"/>
      <c r="F41" s="47"/>
      <c r="G41" s="90" t="str">
        <f>text!A38</f>
        <v>CMR</v>
      </c>
      <c r="H41" s="91">
        <f>B41</f>
        <v>1</v>
      </c>
      <c r="I41" s="92">
        <f>B40</f>
        <v>1</v>
      </c>
      <c r="J41" s="92">
        <f>C38</f>
        <v>0</v>
      </c>
      <c r="K41" s="93"/>
      <c r="L41" s="89"/>
      <c r="M41" s="47"/>
      <c r="N41" s="90" t="str">
        <f>text!A38</f>
        <v>CMR</v>
      </c>
      <c r="O41" s="91">
        <f>IF(AND(ISNUMBER(H41),ISNUMBER(K38)),IF(H41&gt;K38,3,IF(H41=K38,1,0)),0)</f>
        <v>0</v>
      </c>
      <c r="P41" s="92">
        <f>IF(AND(ISNUMBER(I41),ISNUMBER(K39)),IF(I41&gt;K39,3,IF(I41=K39,1,0)),0)</f>
        <v>0</v>
      </c>
      <c r="Q41" s="92">
        <f>IF(AND(ISNUMBER(J41),ISNUMBER(K40)),IF(J41&gt;K40,3,IF(J41=K40,1,0)),0)</f>
        <v>0</v>
      </c>
      <c r="R41" s="93"/>
      <c r="S41" s="89"/>
      <c r="T41" s="47"/>
      <c r="U41" s="4">
        <v>4</v>
      </c>
      <c r="V41" s="94" t="str">
        <f>text!B38</f>
        <v>Kamerun</v>
      </c>
      <c r="W41" s="91">
        <f>IF(COUNT(H41:K41)=COUNT(K38:K41),COUNT(K38:K41),"")</f>
        <v>3</v>
      </c>
      <c r="X41" s="92">
        <f>SUM(O41:R41)</f>
        <v>0</v>
      </c>
      <c r="Y41" s="92">
        <f>SUM(H41:K41)</f>
        <v>2</v>
      </c>
      <c r="Z41" s="92">
        <f>SUM(K38:K41)</f>
        <v>5</v>
      </c>
      <c r="AA41" s="95">
        <f>Y41-Z41</f>
        <v>-3</v>
      </c>
      <c r="AB41" s="89"/>
      <c r="AC41" s="47"/>
      <c r="AD41" s="96">
        <f>BB41</f>
        <v>4</v>
      </c>
      <c r="AE41" s="89"/>
      <c r="AF41" s="47"/>
      <c r="AG41" s="94">
        <f>X41*10000+AA41*100+Y41</f>
        <v>-298</v>
      </c>
      <c r="AH41" s="94">
        <f>COUNTIF(AG38:AG41,AG41)</f>
        <v>1</v>
      </c>
      <c r="AI41" s="94" t="str">
        <f>IF(AH41=1,"x","")</f>
        <v>x</v>
      </c>
      <c r="AJ41" s="89"/>
      <c r="AK41" s="47"/>
      <c r="AL41" s="97">
        <f>IF(AI41="x",4,IF(AG38=AG41,1,IF(AG39=AG41,2,3)))</f>
        <v>4</v>
      </c>
      <c r="AM41" s="94">
        <f>INDEX(O41:R41,1,AL41)</f>
        <v>0</v>
      </c>
      <c r="AN41" s="98">
        <f>IF(OR(AH42=2,AH42=4),AM41/10,0)</f>
        <v>0</v>
      </c>
      <c r="AO41" s="89"/>
      <c r="AP41" s="47"/>
      <c r="AQ41" s="47"/>
      <c r="AR41" s="91">
        <f>X41-INDEX(O41:R41,1,AQ37)</f>
        <v>0</v>
      </c>
      <c r="AS41" s="94">
        <f>AA41-(INDEX(H41:K41,1,AQ37)-INDEX(K38:K41,AQ37))</f>
        <v>-2</v>
      </c>
      <c r="AT41" s="91">
        <f>Y41-INDEX(H41:K41,1,AQ37)</f>
        <v>1</v>
      </c>
      <c r="AU41" s="98">
        <f>IF(OR(AH42&lt;&gt;3,AI41="x"),0,AR41/10+AS41/1000+AT41/100000)</f>
        <v>0</v>
      </c>
      <c r="AV41" s="89"/>
      <c r="AW41" s="47"/>
      <c r="AX41" s="98">
        <f>AG41+AN41+AU41</f>
        <v>-298</v>
      </c>
      <c r="AY41" s="91">
        <f>IF(INDEX(AX38:AX41,U41)&lt;=INDEX(AX38:AX41,U40),U41,U40)</f>
        <v>4</v>
      </c>
      <c r="AZ41" s="92">
        <f>IF(INDEX(AX38:AX41,AY41)&lt;=INDEX(AX38:AX41,AY39),AY41,AY39)</f>
        <v>4</v>
      </c>
      <c r="BA41" s="95">
        <f>IF(INDEX(AX38:AX41,AZ41)&lt;=INDEX(AX38:AX41,AZ38),AZ41,AZ38)</f>
        <v>4</v>
      </c>
      <c r="BB41" s="96">
        <f>MATCH(U41,BA38:BA41,0)</f>
        <v>4</v>
      </c>
      <c r="BC41" s="91">
        <f>COUNTIF(AX38:AX41,AX41)</f>
        <v>1</v>
      </c>
      <c r="BD41" s="95" t="str">
        <f>IF(BC41=1,"x","")</f>
        <v>x</v>
      </c>
      <c r="BE41" s="85">
        <f>(BD41="x")*BB41</f>
        <v>4</v>
      </c>
      <c r="BF41" s="47"/>
      <c r="BG41" s="47"/>
    </row>
    <row r="42" spans="1:59" s="4" customFormat="1" ht="10.5">
      <c r="A42" s="99" t="str">
        <f>'Round 1'!Q7</f>
        <v>Taani</v>
      </c>
      <c r="B42" s="100">
        <f>IF(ISNUMBER('Round 1'!T7),'Round 1'!T7,"")</f>
        <v>0</v>
      </c>
      <c r="C42" s="100">
        <f>IF(ISNUMBER('Round 1'!V7),'Round 1'!V7,"")</f>
        <v>2</v>
      </c>
      <c r="D42" s="101" t="str">
        <f>'Round 1'!S7</f>
        <v>Jaapan</v>
      </c>
      <c r="E42" s="46"/>
      <c r="F42" s="11"/>
      <c r="G42" s="5"/>
      <c r="H42" s="5"/>
      <c r="I42" s="5"/>
      <c r="J42" s="5"/>
      <c r="K42" s="11"/>
      <c r="L42" s="46"/>
      <c r="M42" s="11"/>
      <c r="N42" s="5"/>
      <c r="R42" s="47"/>
      <c r="S42" s="46"/>
      <c r="T42" s="11"/>
      <c r="V42" s="6" t="s">
        <v>61</v>
      </c>
      <c r="W42" s="4" t="b">
        <f>SUM(W38:W41)=12</f>
        <v>1</v>
      </c>
      <c r="AB42" s="46"/>
      <c r="AC42" s="11"/>
      <c r="AD42" s="96" t="str">
        <f>BF42</f>
        <v>ranking clear</v>
      </c>
      <c r="AE42" s="46"/>
      <c r="AF42" s="11"/>
      <c r="AG42" s="102" t="s">
        <v>62</v>
      </c>
      <c r="AH42" s="103">
        <f>MOD(MIN(AH38:AH41)*MAX(AH38:AH41),11)</f>
        <v>1</v>
      </c>
      <c r="AJ42" s="46"/>
      <c r="AK42" s="11"/>
      <c r="AL42" s="11"/>
      <c r="AM42" s="47"/>
      <c r="AN42" s="47"/>
      <c r="AO42" s="46"/>
      <c r="AP42" s="11"/>
      <c r="AQ42" s="11"/>
      <c r="AV42" s="46"/>
      <c r="AW42" s="11"/>
      <c r="BD42" s="104">
        <f>COUNTIF(BD38:BD41,"x")</f>
        <v>4</v>
      </c>
      <c r="BE42" s="103">
        <f>SUM(BE38:BE41)</f>
        <v>10</v>
      </c>
      <c r="BF42" s="103" t="str">
        <f>IF(W42,IF(BD42&gt;=3,text!B$71,IF(AND(BD42=2,BE42=3),text!B$72,text!B$73)),"")</f>
        <v>ranking clear</v>
      </c>
      <c r="BG42" s="47"/>
    </row>
    <row r="43" spans="1:107" ht="10.5">
      <c r="A43" s="10"/>
      <c r="E43" s="46"/>
      <c r="L43" s="46"/>
      <c r="S43" s="46"/>
      <c r="AB43" s="46"/>
      <c r="AE43" s="46"/>
      <c r="AG43" s="49"/>
      <c r="AH43" s="49"/>
      <c r="AJ43" s="46"/>
      <c r="AK43" s="11"/>
      <c r="AL43" s="49"/>
      <c r="AM43" s="49"/>
      <c r="AN43" s="49"/>
      <c r="AO43" s="46"/>
      <c r="AP43" s="11"/>
      <c r="AQ43" s="49"/>
      <c r="AR43" s="124"/>
      <c r="AS43" s="124"/>
      <c r="AT43" s="124"/>
      <c r="AU43" s="49"/>
      <c r="AV43" s="46"/>
      <c r="AW43" s="11"/>
      <c r="AX43" s="47"/>
      <c r="AY43" s="125"/>
      <c r="AZ43" s="125"/>
      <c r="BA43" s="125"/>
      <c r="BB43" s="105"/>
      <c r="BC43" s="124"/>
      <c r="BD43" s="124"/>
      <c r="BE43" s="124"/>
      <c r="BZ43" s="47"/>
      <c r="CA43" s="47"/>
      <c r="CK43" s="47"/>
      <c r="CL43" s="47"/>
      <c r="CO43" s="47"/>
      <c r="CP43" s="47"/>
      <c r="CQ43" s="47"/>
      <c r="CR43" s="47"/>
      <c r="CS43" s="47"/>
      <c r="CW43" s="47"/>
      <c r="CX43" s="47"/>
      <c r="CY43" s="47"/>
      <c r="CZ43" s="47"/>
      <c r="DA43" s="47"/>
      <c r="DB43" s="47"/>
      <c r="DC43" s="47"/>
    </row>
    <row r="44" spans="1:107" ht="10.5">
      <c r="A44" s="10" t="str">
        <f>text!B42</f>
        <v>GROUP F</v>
      </c>
      <c r="E44" s="46"/>
      <c r="L44" s="46"/>
      <c r="S44" s="46"/>
      <c r="AB44" s="46"/>
      <c r="AE44" s="46"/>
      <c r="AG44" s="49"/>
      <c r="AH44" s="49"/>
      <c r="AJ44" s="46"/>
      <c r="AK44" s="11"/>
      <c r="AL44" s="49"/>
      <c r="AM44" s="49"/>
      <c r="AN44" s="49"/>
      <c r="AO44" s="46"/>
      <c r="AP44" s="11"/>
      <c r="AQ44" s="49"/>
      <c r="AR44" s="124"/>
      <c r="AS44" s="124"/>
      <c r="AT44" s="124"/>
      <c r="AU44" s="49"/>
      <c r="AV44" s="46"/>
      <c r="AW44" s="11"/>
      <c r="AX44" s="47"/>
      <c r="AY44" s="125"/>
      <c r="AZ44" s="125"/>
      <c r="BA44" s="125"/>
      <c r="BB44" s="105"/>
      <c r="BC44" s="124"/>
      <c r="BD44" s="124"/>
      <c r="BE44" s="124"/>
      <c r="BZ44" s="47"/>
      <c r="CA44" s="47"/>
      <c r="CK44" s="47"/>
      <c r="CL44" s="47"/>
      <c r="CO44" s="47"/>
      <c r="CP44" s="47"/>
      <c r="CQ44" s="47"/>
      <c r="CR44" s="47"/>
      <c r="CS44" s="47"/>
      <c r="CW44" s="47"/>
      <c r="CX44" s="47"/>
      <c r="CY44" s="47"/>
      <c r="CZ44" s="47"/>
      <c r="DA44" s="47"/>
      <c r="DB44" s="47"/>
      <c r="DC44" s="47"/>
    </row>
    <row r="45" spans="1:50" s="4" customFormat="1" ht="20.25">
      <c r="A45" s="57" t="str">
        <f>'Round 1'!Q10</f>
        <v>Itaalia</v>
      </c>
      <c r="B45" s="58">
        <f>IF(ISNUMBER('Round 1'!T10),'Round 1'!T10,"")</f>
        <v>1</v>
      </c>
      <c r="C45" s="58">
        <f>IF(ISNUMBER('Round 1'!V10),'Round 1'!V10,"")</f>
        <v>1</v>
      </c>
      <c r="D45" s="59" t="str">
        <f>'Round 1'!S10</f>
        <v>Paraguay</v>
      </c>
      <c r="E45" s="60"/>
      <c r="F45" s="61"/>
      <c r="G45" s="62">
        <f>SUM(H46:K49)</f>
        <v>13</v>
      </c>
      <c r="H45" s="63" t="str">
        <f>text!A43</f>
        <v>ITA</v>
      </c>
      <c r="I45" s="64" t="str">
        <f>text!A44</f>
        <v>PAR</v>
      </c>
      <c r="J45" s="64" t="str">
        <f>text!A45</f>
        <v>NZL</v>
      </c>
      <c r="K45" s="65" t="str">
        <f>text!A46</f>
        <v>SLO</v>
      </c>
      <c r="L45" s="60"/>
      <c r="M45" s="61"/>
      <c r="N45" s="62">
        <f>SUM(O46:R49)</f>
        <v>14</v>
      </c>
      <c r="O45" s="63" t="str">
        <f>text!A43</f>
        <v>ITA</v>
      </c>
      <c r="P45" s="64" t="str">
        <f>text!A44</f>
        <v>PAR</v>
      </c>
      <c r="Q45" s="64" t="str">
        <f>text!A45</f>
        <v>NZL</v>
      </c>
      <c r="R45" s="65" t="str">
        <f>text!A46</f>
        <v>SLO</v>
      </c>
      <c r="S45" s="60"/>
      <c r="T45" s="61"/>
      <c r="W45" s="66" t="str">
        <f>text!A$64</f>
        <v>M</v>
      </c>
      <c r="X45" s="67" t="str">
        <f>text!A$65</f>
        <v>Pts</v>
      </c>
      <c r="Y45" s="67" t="str">
        <f>text!A$66</f>
        <v>Löödud</v>
      </c>
      <c r="Z45" s="67" t="str">
        <f>text!A$67</f>
        <v>Sisse</v>
      </c>
      <c r="AA45" s="68" t="str">
        <f>text!A$68</f>
        <v>Vahe</v>
      </c>
      <c r="AB45" s="60"/>
      <c r="AC45" s="61"/>
      <c r="AD45" s="5"/>
      <c r="AE45" s="60"/>
      <c r="AF45" s="61"/>
      <c r="AJ45" s="60"/>
      <c r="AK45" s="61"/>
      <c r="AL45" s="61"/>
      <c r="AM45" s="47"/>
      <c r="AN45" s="47"/>
      <c r="AO45" s="60"/>
      <c r="AP45" s="61"/>
      <c r="AQ45" s="69">
        <f>MATCH(1,AH46:AH49,0)</f>
        <v>1</v>
      </c>
      <c r="AV45" s="60"/>
      <c r="AW45" s="61"/>
      <c r="AX45" s="48"/>
    </row>
    <row r="46" spans="1:59" s="4" customFormat="1" ht="10.5">
      <c r="A46" s="70" t="str">
        <f>'Round 1'!Q11</f>
        <v>Uus-Meremaa</v>
      </c>
      <c r="B46" s="11">
        <f>IF(ISNUMBER('Round 1'!T11),'Round 1'!T11,"")</f>
        <v>1</v>
      </c>
      <c r="C46" s="11">
        <f>IF(ISNUMBER('Round 1'!V11),'Round 1'!V11,"")</f>
        <v>1</v>
      </c>
      <c r="D46" s="71" t="str">
        <f>'Round 1'!S11</f>
        <v>Slovakkia</v>
      </c>
      <c r="E46" s="46"/>
      <c r="F46" s="11"/>
      <c r="G46" s="72" t="str">
        <f>text!A43</f>
        <v>ITA</v>
      </c>
      <c r="H46" s="73"/>
      <c r="I46" s="74">
        <f>B45</f>
        <v>1</v>
      </c>
      <c r="J46" s="74">
        <f>B47</f>
        <v>1</v>
      </c>
      <c r="K46" s="75">
        <f>C49</f>
        <v>2</v>
      </c>
      <c r="L46" s="46"/>
      <c r="M46" s="11"/>
      <c r="N46" s="72" t="str">
        <f>text!A43</f>
        <v>ITA</v>
      </c>
      <c r="O46" s="73"/>
      <c r="P46" s="74">
        <f>IF(AND(ISNUMBER(I46),ISNUMBER(H47)),IF(I46&gt;H47,3,IF(I46=H47,1,0)),0)</f>
        <v>1</v>
      </c>
      <c r="Q46" s="74">
        <f>IF(AND(ISNUMBER(J46),ISNUMBER(H48)),IF(J46&gt;H48,3,IF(J46=H48,1,0)),0)</f>
        <v>1</v>
      </c>
      <c r="R46" s="75">
        <f>IF(AND(ISNUMBER(K46),ISNUMBER(H49)),IF(K46&gt;H49,3,IF(K46=H49,1,0)),0)</f>
        <v>0</v>
      </c>
      <c r="S46" s="46"/>
      <c r="T46" s="11"/>
      <c r="U46" s="4">
        <v>1</v>
      </c>
      <c r="V46" s="76" t="str">
        <f>text!B43</f>
        <v>Itaalia</v>
      </c>
      <c r="W46" s="77">
        <f>IF(COUNT(H46:K46)=COUNT(H46:H49),COUNT(H46:H49),"")</f>
        <v>3</v>
      </c>
      <c r="X46" s="74">
        <f>SUM(O46:R46)</f>
        <v>2</v>
      </c>
      <c r="Y46" s="74">
        <f>SUM(H46:K46)</f>
        <v>4</v>
      </c>
      <c r="Z46" s="74">
        <f>SUM(H46:H49)</f>
        <v>5</v>
      </c>
      <c r="AA46" s="75">
        <f>Y46-Z46</f>
        <v>-1</v>
      </c>
      <c r="AB46" s="46"/>
      <c r="AC46" s="11"/>
      <c r="AD46" s="78">
        <f>BB46</f>
        <v>4</v>
      </c>
      <c r="AE46" s="46"/>
      <c r="AF46" s="11"/>
      <c r="AG46" s="76">
        <f>X46*10000+AA46*100+Y46</f>
        <v>19904</v>
      </c>
      <c r="AH46" s="76">
        <f>COUNTIF(AG46:AG49,AG46)</f>
        <v>1</v>
      </c>
      <c r="AI46" s="76" t="str">
        <f>IF(AH46=1,"x","")</f>
        <v>x</v>
      </c>
      <c r="AJ46" s="46"/>
      <c r="AK46" s="11"/>
      <c r="AL46" s="79">
        <f>IF(AI46="x",1,IF(AG47=AG46,2,IF(AG48=AG46,3,4)))</f>
        <v>1</v>
      </c>
      <c r="AM46" s="76">
        <f>INDEX(O46:R46,1,AL46)</f>
        <v>0</v>
      </c>
      <c r="AN46" s="80">
        <f>IF(OR(AH50=2,AH50=4),AM46/10,0)</f>
        <v>0</v>
      </c>
      <c r="AO46" s="46"/>
      <c r="AP46" s="11"/>
      <c r="AQ46" s="11"/>
      <c r="AR46" s="77">
        <f>X46-INDEX(O46:R46,1,AQ45)</f>
        <v>2</v>
      </c>
      <c r="AS46" s="76">
        <f>AA46-(INDEX(H46:K46,1,AQ45)-INDEX(H46:H49,AQ45,1))</f>
        <v>-1</v>
      </c>
      <c r="AT46" s="77">
        <f>Y46-INDEX(H46:K46,1,AQ45)</f>
        <v>4</v>
      </c>
      <c r="AU46" s="80">
        <f>IF(OR(AH50&lt;&gt;3,AI46="x"),0,AR46/10+AS46/1000+AT46/100000)</f>
        <v>0</v>
      </c>
      <c r="AV46" s="46"/>
      <c r="AW46" s="11"/>
      <c r="AX46" s="80">
        <f>AG46+AN46+AU46</f>
        <v>19904</v>
      </c>
      <c r="AY46" s="77">
        <f>IF(INDEX(AX46:AX49,U46)&gt;=INDEX(AX46:AX49,U47),U46,U47)</f>
        <v>2</v>
      </c>
      <c r="AZ46" s="74">
        <f>IF(INDEX(AX46:AX49,AY46)&gt;=INDEX(AX46:AX49,AY48),AY46,AY48)</f>
        <v>2</v>
      </c>
      <c r="BA46" s="75">
        <f>IF(INDEX(AX46:AX49,AZ46)&gt;=INDEX(AX46:AX49,AZ49),AZ46,AZ49)</f>
        <v>2</v>
      </c>
      <c r="BB46" s="78">
        <f>MATCH(U46,BA46:BA49,0)</f>
        <v>4</v>
      </c>
      <c r="BC46" s="77">
        <f>COUNTIF(AX46:AX49,AX46)</f>
        <v>1</v>
      </c>
      <c r="BD46" s="75" t="str">
        <f>IF(BC46=1,"x","")</f>
        <v>x</v>
      </c>
      <c r="BE46" s="76">
        <f>(BD46="x")*BB46</f>
        <v>4</v>
      </c>
      <c r="BF46" s="47"/>
      <c r="BG46" s="47"/>
    </row>
    <row r="47" spans="1:59" s="4" customFormat="1" ht="10.5">
      <c r="A47" s="70" t="str">
        <f>'Round 1'!Q12</f>
        <v>Itaalia</v>
      </c>
      <c r="B47" s="11">
        <f>IF(ISNUMBER('Round 1'!T12),'Round 1'!T12,"")</f>
        <v>1</v>
      </c>
      <c r="C47" s="11">
        <f>IF(ISNUMBER('Round 1'!V12),'Round 1'!V12,"")</f>
        <v>1</v>
      </c>
      <c r="D47" s="71" t="str">
        <f>'Round 1'!S12</f>
        <v>Uus-Meremaa</v>
      </c>
      <c r="E47" s="46"/>
      <c r="F47" s="11"/>
      <c r="G47" s="81" t="str">
        <f>text!A44</f>
        <v>PAR</v>
      </c>
      <c r="H47" s="82">
        <f>C45</f>
        <v>1</v>
      </c>
      <c r="I47" s="83"/>
      <c r="J47" s="47">
        <f>B50</f>
        <v>0</v>
      </c>
      <c r="K47" s="84">
        <f>C48</f>
        <v>2</v>
      </c>
      <c r="L47" s="46"/>
      <c r="M47" s="11"/>
      <c r="N47" s="81" t="str">
        <f>text!A44</f>
        <v>PAR</v>
      </c>
      <c r="O47" s="82">
        <f>IF(AND(ISNUMBER(H47),ISNUMBER(I46)),IF(H47&gt;I46,3,IF(H47=I46,1,0)),0)</f>
        <v>1</v>
      </c>
      <c r="P47" s="83"/>
      <c r="Q47" s="47">
        <f>IF(AND(ISNUMBER(J47),ISNUMBER(I48)),IF(J47&gt;I48,3,IF(J47=I48,1,0)),0)</f>
        <v>1</v>
      </c>
      <c r="R47" s="84">
        <f>IF(AND(ISNUMBER(K47),ISNUMBER(I49)),IF(K47&gt;I49,3,IF(K47=I49,1,0)),0)</f>
        <v>3</v>
      </c>
      <c r="S47" s="46"/>
      <c r="T47" s="11"/>
      <c r="U47" s="4">
        <v>2</v>
      </c>
      <c r="V47" s="85" t="str">
        <f>text!B44</f>
        <v>Paraguay</v>
      </c>
      <c r="W47" s="82">
        <f>IF(COUNT(H47:K47)=COUNT(I46:I49),COUNT(I46:I49),"")</f>
        <v>3</v>
      </c>
      <c r="X47" s="47">
        <f>SUM(O47:R47)</f>
        <v>5</v>
      </c>
      <c r="Y47" s="47">
        <f>SUM(H47:K47)</f>
        <v>3</v>
      </c>
      <c r="Z47" s="47">
        <f>SUM(I46:I49)</f>
        <v>1</v>
      </c>
      <c r="AA47" s="84">
        <f>Y47-Z47</f>
        <v>2</v>
      </c>
      <c r="AB47" s="46"/>
      <c r="AC47" s="11"/>
      <c r="AD47" s="86">
        <f>BB47</f>
        <v>1</v>
      </c>
      <c r="AE47" s="46"/>
      <c r="AF47" s="11"/>
      <c r="AG47" s="85">
        <f>X47*10000+AA47*100+Y47</f>
        <v>50203</v>
      </c>
      <c r="AH47" s="85">
        <f>COUNTIF(AG46:AG49,AG47)</f>
        <v>1</v>
      </c>
      <c r="AI47" s="85" t="str">
        <f>IF(AH47=1,"x","")</f>
        <v>x</v>
      </c>
      <c r="AJ47" s="46"/>
      <c r="AK47" s="11"/>
      <c r="AL47" s="87">
        <f>IF(AI47="x",2,IF(AG48=AG47,3,IF(AG49=AG47,4,1)))</f>
        <v>2</v>
      </c>
      <c r="AM47" s="85">
        <f>INDEX(O47:R47,1,AL47)</f>
        <v>0</v>
      </c>
      <c r="AN47" s="88">
        <f>IF(OR(AH50=2,AH50=4),AM47/10,0)</f>
        <v>0</v>
      </c>
      <c r="AO47" s="46"/>
      <c r="AP47" s="11"/>
      <c r="AQ47" s="11"/>
      <c r="AR47" s="82">
        <f>X47-INDEX(O47:R47,1,AQ45)</f>
        <v>4</v>
      </c>
      <c r="AS47" s="85">
        <f>AA47-(INDEX(H47:K47,1,AQ45)-INDEX(I46:I49,AQ45))</f>
        <v>2</v>
      </c>
      <c r="AT47" s="82">
        <f>Y47-INDEX(H47:K47,1,AQ45)</f>
        <v>2</v>
      </c>
      <c r="AU47" s="88">
        <f>IF(OR(AH50&lt;&gt;3,AI47="x"),0,AR47/10+AS47/1000+AT47/100000)</f>
        <v>0</v>
      </c>
      <c r="AV47" s="46"/>
      <c r="AW47" s="11"/>
      <c r="AX47" s="88">
        <f>AG47+AN47+AU47</f>
        <v>50203</v>
      </c>
      <c r="AY47" s="82">
        <f>IF(INDEX(AX46:AX49,U47)&lt;=INDEX(AX46:AX49,U46),U47,U46)</f>
        <v>1</v>
      </c>
      <c r="AZ47" s="47">
        <f>IF(INDEX(AX46:AX49,AY47)&gt;=INDEX(AX46:AX49,AY49),AY47,AY49)</f>
        <v>3</v>
      </c>
      <c r="BA47" s="84">
        <f>IF(INDEX(AX46:AX49,AZ47)&gt;=INDEX(AX46:AX49,AZ48),AZ47,AZ48)</f>
        <v>4</v>
      </c>
      <c r="BB47" s="86">
        <f>MATCH(U47,BA46:BA49,0)</f>
        <v>1</v>
      </c>
      <c r="BC47" s="82">
        <f>COUNTIF(AX46:AX49,AX47)</f>
        <v>1</v>
      </c>
      <c r="BD47" s="84" t="str">
        <f>IF(BC47=1,"x","")</f>
        <v>x</v>
      </c>
      <c r="BE47" s="85">
        <f>(BD47="x")*BB47</f>
        <v>1</v>
      </c>
      <c r="BF47" s="47"/>
      <c r="BG47" s="47"/>
    </row>
    <row r="48" spans="1:59" s="4" customFormat="1" ht="10.5">
      <c r="A48" s="70" t="str">
        <f>'Round 1'!Q13</f>
        <v>Slovakkia</v>
      </c>
      <c r="B48" s="11">
        <f>IF(ISNUMBER('Round 1'!T13),'Round 1'!T13,"")</f>
        <v>0</v>
      </c>
      <c r="C48" s="11">
        <f>IF(ISNUMBER('Round 1'!V13),'Round 1'!V13,"")</f>
        <v>2</v>
      </c>
      <c r="D48" s="71" t="str">
        <f>'Round 1'!S13</f>
        <v>Paraguay</v>
      </c>
      <c r="E48" s="46"/>
      <c r="F48" s="11"/>
      <c r="G48" s="81" t="str">
        <f>text!A45</f>
        <v>NZL</v>
      </c>
      <c r="H48" s="82">
        <f>C47</f>
        <v>1</v>
      </c>
      <c r="I48" s="47">
        <f>C50</f>
        <v>0</v>
      </c>
      <c r="J48" s="83"/>
      <c r="K48" s="84">
        <f>B46</f>
        <v>1</v>
      </c>
      <c r="L48" s="46"/>
      <c r="M48" s="11"/>
      <c r="N48" s="81" t="str">
        <f>text!A45</f>
        <v>NZL</v>
      </c>
      <c r="O48" s="82">
        <f>IF(AND(ISNUMBER(H48),ISNUMBER(J46)),IF(H48&gt;J46,3,IF(H48=J46,1,0)),0)</f>
        <v>1</v>
      </c>
      <c r="P48" s="47">
        <f>IF(AND(ISNUMBER(I48),ISNUMBER(J47)),IF(I48&gt;J47,3,IF(I48=J47,1,0)),0)</f>
        <v>1</v>
      </c>
      <c r="Q48" s="83"/>
      <c r="R48" s="84">
        <f>IF(AND(ISNUMBER(K48),ISNUMBER(J49)),IF(K48&gt;J49,3,IF(K48=J49,1,0)),0)</f>
        <v>1</v>
      </c>
      <c r="S48" s="46"/>
      <c r="T48" s="11"/>
      <c r="U48" s="4">
        <v>3</v>
      </c>
      <c r="V48" s="85" t="str">
        <f>text!B45</f>
        <v>Uus-Meremaa</v>
      </c>
      <c r="W48" s="82">
        <f>IF(COUNT(H48:K48)=COUNT(J46:J49),COUNT(J46:J49),"")</f>
        <v>3</v>
      </c>
      <c r="X48" s="47">
        <f>SUM(O48:R48)</f>
        <v>3</v>
      </c>
      <c r="Y48" s="47">
        <f>SUM(H48:K48)</f>
        <v>2</v>
      </c>
      <c r="Z48" s="47">
        <f>SUM(J46:J49)</f>
        <v>2</v>
      </c>
      <c r="AA48" s="84">
        <f>Y48-Z48</f>
        <v>0</v>
      </c>
      <c r="AB48" s="46"/>
      <c r="AC48" s="11"/>
      <c r="AD48" s="86">
        <f>BB48</f>
        <v>3</v>
      </c>
      <c r="AE48" s="46"/>
      <c r="AF48" s="11"/>
      <c r="AG48" s="85">
        <f>X48*10000+AA48*100+Y48</f>
        <v>30002</v>
      </c>
      <c r="AH48" s="85">
        <f>COUNTIF(AG46:AG49,AG48)</f>
        <v>1</v>
      </c>
      <c r="AI48" s="85" t="str">
        <f>IF(AH48=1,"x","")</f>
        <v>x</v>
      </c>
      <c r="AJ48" s="46"/>
      <c r="AK48" s="11"/>
      <c r="AL48" s="87">
        <f>IF(AI48="x",3,IF(AG49=AG48,4,IF(AG47=AG48,2,1)))</f>
        <v>3</v>
      </c>
      <c r="AM48" s="85">
        <f>INDEX(O48:R48,1,AL48)</f>
        <v>0</v>
      </c>
      <c r="AN48" s="88">
        <f>IF(OR(AH50=2,AH50=4),AM48/10,0)</f>
        <v>0</v>
      </c>
      <c r="AO48" s="46"/>
      <c r="AP48" s="11"/>
      <c r="AQ48" s="11"/>
      <c r="AR48" s="82">
        <f>X48-INDEX(O48:R48,1,AQ45)</f>
        <v>2</v>
      </c>
      <c r="AS48" s="85">
        <f>AA48-(INDEX(H48:K48,1,AQ45)-INDEX(J46:J49,AQ45))</f>
        <v>0</v>
      </c>
      <c r="AT48" s="82">
        <f>Y48-INDEX(H48:K48,1,AQ45)</f>
        <v>1</v>
      </c>
      <c r="AU48" s="88">
        <f>IF(OR(AH50&lt;&gt;3,AI48="x"),0,AR48/10+AS48/1000+AT48/100000)</f>
        <v>0</v>
      </c>
      <c r="AV48" s="46"/>
      <c r="AW48" s="11"/>
      <c r="AX48" s="88">
        <f>AG48+AN48+AU48</f>
        <v>30002</v>
      </c>
      <c r="AY48" s="82">
        <f>IF(INDEX(AX46:AX49,U48)&gt;=INDEX(AX46:AX49,U49),U48,U49)</f>
        <v>4</v>
      </c>
      <c r="AZ48" s="47">
        <f>IF(INDEX(AX46:AX49,AY48)&lt;=INDEX(AX46:AX49,AY46),AY48,AY46)</f>
        <v>4</v>
      </c>
      <c r="BA48" s="84">
        <f>IF(INDEX(AX46:AX49,AZ48)&lt;=INDEX(AX46:AX49,AZ47),AZ48,AZ47)</f>
        <v>3</v>
      </c>
      <c r="BB48" s="86">
        <f>MATCH(U48,BA46:BA49,0)</f>
        <v>3</v>
      </c>
      <c r="BC48" s="82">
        <f>COUNTIF(AX46:AX49,AX48)</f>
        <v>1</v>
      </c>
      <c r="BD48" s="84" t="str">
        <f>IF(BC48=1,"x","")</f>
        <v>x</v>
      </c>
      <c r="BE48" s="85">
        <f>(BD48="x")*BB48</f>
        <v>3</v>
      </c>
      <c r="BF48" s="47"/>
      <c r="BG48" s="47"/>
    </row>
    <row r="49" spans="1:59" s="4" customFormat="1" ht="10.5">
      <c r="A49" s="70" t="str">
        <f>'Round 1'!Q14</f>
        <v>Slovakkia</v>
      </c>
      <c r="B49" s="11">
        <f>IF(ISNUMBER('Round 1'!T14),'Round 1'!T14,"")</f>
        <v>3</v>
      </c>
      <c r="C49" s="11">
        <f>IF(ISNUMBER('Round 1'!V14),'Round 1'!V14,"")</f>
        <v>2</v>
      </c>
      <c r="D49" s="71" t="str">
        <f>'Round 1'!S14</f>
        <v>Itaalia</v>
      </c>
      <c r="E49" s="89"/>
      <c r="F49" s="47"/>
      <c r="G49" s="90" t="str">
        <f>text!A46</f>
        <v>SLO</v>
      </c>
      <c r="H49" s="91">
        <f>B49</f>
        <v>3</v>
      </c>
      <c r="I49" s="92">
        <f>B48</f>
        <v>0</v>
      </c>
      <c r="J49" s="92">
        <f>C46</f>
        <v>1</v>
      </c>
      <c r="K49" s="93"/>
      <c r="L49" s="89"/>
      <c r="M49" s="47"/>
      <c r="N49" s="90" t="str">
        <f>text!A46</f>
        <v>SLO</v>
      </c>
      <c r="O49" s="91">
        <f>IF(AND(ISNUMBER(H49),ISNUMBER(K46)),IF(H49&gt;K46,3,IF(H49=K46,1,0)),0)</f>
        <v>3</v>
      </c>
      <c r="P49" s="92">
        <f>IF(AND(ISNUMBER(I49),ISNUMBER(K47)),IF(I49&gt;K47,3,IF(I49=K47,1,0)),0)</f>
        <v>0</v>
      </c>
      <c r="Q49" s="92">
        <f>IF(AND(ISNUMBER(J49),ISNUMBER(K48)),IF(J49&gt;K48,3,IF(J49=K48,1,0)),0)</f>
        <v>1</v>
      </c>
      <c r="R49" s="93"/>
      <c r="S49" s="89"/>
      <c r="T49" s="47"/>
      <c r="U49" s="4">
        <v>4</v>
      </c>
      <c r="V49" s="94" t="str">
        <f>text!B46</f>
        <v>Slovakkia</v>
      </c>
      <c r="W49" s="91">
        <f>IF(COUNT(H49:K49)=COUNT(K46:K49),COUNT(K46:K49),"")</f>
        <v>3</v>
      </c>
      <c r="X49" s="92">
        <f>SUM(O49:R49)</f>
        <v>4</v>
      </c>
      <c r="Y49" s="92">
        <f>SUM(H49:K49)</f>
        <v>4</v>
      </c>
      <c r="Z49" s="92">
        <f>SUM(K46:K49)</f>
        <v>5</v>
      </c>
      <c r="AA49" s="95">
        <f>Y49-Z49</f>
        <v>-1</v>
      </c>
      <c r="AB49" s="89"/>
      <c r="AC49" s="47"/>
      <c r="AD49" s="96">
        <f>BB49</f>
        <v>2</v>
      </c>
      <c r="AE49" s="89"/>
      <c r="AF49" s="47"/>
      <c r="AG49" s="94">
        <f>X49*10000+AA49*100+Y49</f>
        <v>39904</v>
      </c>
      <c r="AH49" s="94">
        <f>COUNTIF(AG46:AG49,AG49)</f>
        <v>1</v>
      </c>
      <c r="AI49" s="94" t="str">
        <f>IF(AH49=1,"x","")</f>
        <v>x</v>
      </c>
      <c r="AJ49" s="89"/>
      <c r="AK49" s="47"/>
      <c r="AL49" s="97">
        <f>IF(AI49="x",4,IF(AG46=AG49,1,IF(AG47=AG49,2,3)))</f>
        <v>4</v>
      </c>
      <c r="AM49" s="94">
        <f>INDEX(O49:R49,1,AL49)</f>
        <v>0</v>
      </c>
      <c r="AN49" s="98">
        <f>IF(OR(AH50=2,AH50=4),AM49/10,0)</f>
        <v>0</v>
      </c>
      <c r="AO49" s="89"/>
      <c r="AP49" s="47"/>
      <c r="AQ49" s="47"/>
      <c r="AR49" s="91">
        <f>X49-INDEX(O49:R49,1,AQ45)</f>
        <v>1</v>
      </c>
      <c r="AS49" s="94">
        <f>AA49-(INDEX(H49:K49,1,AQ45)-INDEX(K46:K49,AQ45))</f>
        <v>-2</v>
      </c>
      <c r="AT49" s="91">
        <f>Y49-INDEX(H49:K49,1,AQ45)</f>
        <v>1</v>
      </c>
      <c r="AU49" s="98">
        <f>IF(OR(AH50&lt;&gt;3,AI49="x"),0,AR49/10+AS49/1000+AT49/100000)</f>
        <v>0</v>
      </c>
      <c r="AV49" s="89"/>
      <c r="AW49" s="47"/>
      <c r="AX49" s="98">
        <f>AG49+AN49+AU49</f>
        <v>39904</v>
      </c>
      <c r="AY49" s="91">
        <f>IF(INDEX(AX46:AX49,U49)&lt;=INDEX(AX46:AX49,U48),U49,U48)</f>
        <v>3</v>
      </c>
      <c r="AZ49" s="92">
        <f>IF(INDEX(AX46:AX49,AY49)&lt;=INDEX(AX46:AX49,AY47),AY49,AY47)</f>
        <v>1</v>
      </c>
      <c r="BA49" s="95">
        <f>IF(INDEX(AX46:AX49,AZ49)&lt;=INDEX(AX46:AX49,AZ46),AZ49,AZ46)</f>
        <v>1</v>
      </c>
      <c r="BB49" s="96">
        <f>MATCH(U49,BA46:BA49,0)</f>
        <v>2</v>
      </c>
      <c r="BC49" s="91">
        <f>COUNTIF(AX46:AX49,AX49)</f>
        <v>1</v>
      </c>
      <c r="BD49" s="95" t="str">
        <f>IF(BC49=1,"x","")</f>
        <v>x</v>
      </c>
      <c r="BE49" s="85">
        <f>(BD49="x")*BB49</f>
        <v>2</v>
      </c>
      <c r="BF49" s="47"/>
      <c r="BG49" s="47"/>
    </row>
    <row r="50" spans="1:59" s="4" customFormat="1" ht="10.5">
      <c r="A50" s="99" t="str">
        <f>'Round 1'!Q15</f>
        <v>Paraguay</v>
      </c>
      <c r="B50" s="100">
        <f>IF(ISNUMBER('Round 1'!T15),'Round 1'!T15,"")</f>
        <v>0</v>
      </c>
      <c r="C50" s="100">
        <f>IF(ISNUMBER('Round 1'!V15),'Round 1'!V15,"")</f>
        <v>0</v>
      </c>
      <c r="D50" s="101" t="str">
        <f>'Round 1'!S15</f>
        <v>Uus-Meremaa</v>
      </c>
      <c r="E50" s="46"/>
      <c r="F50" s="11"/>
      <c r="G50" s="5"/>
      <c r="H50" s="5"/>
      <c r="I50" s="5"/>
      <c r="J50" s="5"/>
      <c r="K50" s="11"/>
      <c r="L50" s="46"/>
      <c r="M50" s="11"/>
      <c r="N50" s="5"/>
      <c r="R50" s="47"/>
      <c r="S50" s="46"/>
      <c r="T50" s="11"/>
      <c r="V50" s="6" t="s">
        <v>61</v>
      </c>
      <c r="W50" s="4" t="b">
        <f>SUM(W46:W49)=12</f>
        <v>1</v>
      </c>
      <c r="AB50" s="46"/>
      <c r="AC50" s="11"/>
      <c r="AD50" s="96" t="str">
        <f>BF50</f>
        <v>ranking clear</v>
      </c>
      <c r="AE50" s="46"/>
      <c r="AF50" s="11"/>
      <c r="AG50" s="102" t="s">
        <v>62</v>
      </c>
      <c r="AH50" s="103">
        <f>MOD(MIN(AH46:AH49)*MAX(AH46:AH49),11)</f>
        <v>1</v>
      </c>
      <c r="AJ50" s="46"/>
      <c r="AK50" s="11"/>
      <c r="AL50" s="11"/>
      <c r="AM50" s="47"/>
      <c r="AN50" s="47"/>
      <c r="AO50" s="46"/>
      <c r="AP50" s="11"/>
      <c r="AQ50" s="11"/>
      <c r="AV50" s="46"/>
      <c r="AW50" s="11"/>
      <c r="BD50" s="104">
        <f>COUNTIF(BD46:BD49,"x")</f>
        <v>4</v>
      </c>
      <c r="BE50" s="103">
        <f>SUM(BE46:BE49)</f>
        <v>10</v>
      </c>
      <c r="BF50" s="103" t="str">
        <f>IF(W50,IF(BD50&gt;=3,text!B$71,IF(AND(BD50=2,BE50=3),text!B$72,text!B$73)),"")</f>
        <v>ranking clear</v>
      </c>
      <c r="BG50" s="47"/>
    </row>
    <row r="51" spans="1:107" ht="10.5">
      <c r="A51" s="10"/>
      <c r="E51" s="46"/>
      <c r="L51" s="46"/>
      <c r="S51" s="46"/>
      <c r="AB51" s="46"/>
      <c r="AE51" s="46"/>
      <c r="AG51" s="49"/>
      <c r="AH51" s="49"/>
      <c r="AJ51" s="46"/>
      <c r="AK51" s="11"/>
      <c r="AL51" s="49"/>
      <c r="AM51" s="49"/>
      <c r="AN51" s="49"/>
      <c r="AO51" s="46"/>
      <c r="AP51" s="11"/>
      <c r="AQ51" s="49"/>
      <c r="AR51" s="124"/>
      <c r="AS51" s="124"/>
      <c r="AT51" s="124"/>
      <c r="AU51" s="49"/>
      <c r="AV51" s="46"/>
      <c r="AW51" s="11"/>
      <c r="AX51" s="47"/>
      <c r="AY51" s="125"/>
      <c r="AZ51" s="125"/>
      <c r="BA51" s="125"/>
      <c r="BB51" s="105"/>
      <c r="BC51" s="124"/>
      <c r="BD51" s="124"/>
      <c r="BE51" s="124"/>
      <c r="BZ51" s="47"/>
      <c r="CA51" s="47"/>
      <c r="CK51" s="47"/>
      <c r="CL51" s="47"/>
      <c r="CO51" s="47"/>
      <c r="CP51" s="47"/>
      <c r="CQ51" s="47"/>
      <c r="CR51" s="47"/>
      <c r="CS51" s="47"/>
      <c r="CW51" s="47"/>
      <c r="CX51" s="47"/>
      <c r="CY51" s="47"/>
      <c r="CZ51" s="47"/>
      <c r="DA51" s="47"/>
      <c r="DB51" s="47"/>
      <c r="DC51" s="47"/>
    </row>
    <row r="52" spans="1:107" ht="10.5">
      <c r="A52" s="10" t="str">
        <f>text!B50</f>
        <v>GROUP G</v>
      </c>
      <c r="E52" s="46"/>
      <c r="L52" s="46"/>
      <c r="S52" s="46"/>
      <c r="AB52" s="46"/>
      <c r="AE52" s="46"/>
      <c r="AG52" s="49"/>
      <c r="AH52" s="49"/>
      <c r="AJ52" s="46"/>
      <c r="AK52" s="11"/>
      <c r="AL52" s="49"/>
      <c r="AM52" s="49"/>
      <c r="AN52" s="49"/>
      <c r="AO52" s="46"/>
      <c r="AP52" s="11"/>
      <c r="AQ52" s="49"/>
      <c r="AR52" s="124"/>
      <c r="AS52" s="124"/>
      <c r="AT52" s="124"/>
      <c r="AU52" s="49"/>
      <c r="AV52" s="46"/>
      <c r="AW52" s="11"/>
      <c r="AX52" s="47"/>
      <c r="AY52" s="125"/>
      <c r="AZ52" s="125"/>
      <c r="BA52" s="125"/>
      <c r="BB52" s="105"/>
      <c r="BC52" s="124"/>
      <c r="BD52" s="124"/>
      <c r="BE52" s="124"/>
      <c r="BZ52" s="47"/>
      <c r="CA52" s="47"/>
      <c r="CK52" s="47"/>
      <c r="CL52" s="47"/>
      <c r="CO52" s="47"/>
      <c r="CP52" s="47"/>
      <c r="CQ52" s="47"/>
      <c r="CR52" s="47"/>
      <c r="CS52" s="47"/>
      <c r="CW52" s="47"/>
      <c r="CX52" s="47"/>
      <c r="CY52" s="47"/>
      <c r="CZ52" s="47"/>
      <c r="DA52" s="47"/>
      <c r="DB52" s="47"/>
      <c r="DC52" s="47"/>
    </row>
    <row r="53" spans="1:50" s="4" customFormat="1" ht="30">
      <c r="A53" s="57" t="str">
        <f>'Round 1'!Q18</f>
        <v>Elevandiluurannik</v>
      </c>
      <c r="B53" s="58">
        <f>IF(ISNUMBER('Round 1'!T18),'Round 1'!T18,"")</f>
        <v>0</v>
      </c>
      <c r="C53" s="58">
        <f>IF(ISNUMBER('Round 1'!V18),'Round 1'!V18,"")</f>
        <v>0</v>
      </c>
      <c r="D53" s="59" t="str">
        <f>'Round 1'!S18</f>
        <v>Portugal</v>
      </c>
      <c r="E53" s="60"/>
      <c r="F53" s="61"/>
      <c r="G53" s="62">
        <f>SUM(H54:K57)</f>
        <v>17</v>
      </c>
      <c r="H53" s="63" t="str">
        <f>text!A51</f>
        <v>Elev</v>
      </c>
      <c r="I53" s="64" t="str">
        <f>text!A52</f>
        <v>POR</v>
      </c>
      <c r="J53" s="64" t="str">
        <f>text!A53</f>
        <v>BRA</v>
      </c>
      <c r="K53" s="65" t="str">
        <f>text!A54</f>
        <v>KOR_p</v>
      </c>
      <c r="L53" s="60"/>
      <c r="M53" s="61"/>
      <c r="N53" s="62">
        <f>SUM(O54:R57)</f>
        <v>16</v>
      </c>
      <c r="O53" s="63" t="str">
        <f>text!A51</f>
        <v>Elev</v>
      </c>
      <c r="P53" s="64" t="str">
        <f>text!A52</f>
        <v>POR</v>
      </c>
      <c r="Q53" s="64" t="str">
        <f>text!A53</f>
        <v>BRA</v>
      </c>
      <c r="R53" s="65" t="str">
        <f>text!A54</f>
        <v>KOR_p</v>
      </c>
      <c r="S53" s="60"/>
      <c r="T53" s="61"/>
      <c r="W53" s="66" t="str">
        <f>text!A$64</f>
        <v>M</v>
      </c>
      <c r="X53" s="67" t="str">
        <f>text!A$65</f>
        <v>Pts</v>
      </c>
      <c r="Y53" s="67" t="str">
        <f>text!A$66</f>
        <v>Löödud</v>
      </c>
      <c r="Z53" s="67" t="str">
        <f>text!A$67</f>
        <v>Sisse</v>
      </c>
      <c r="AA53" s="68" t="str">
        <f>text!A$68</f>
        <v>Vahe</v>
      </c>
      <c r="AB53" s="60"/>
      <c r="AC53" s="61"/>
      <c r="AD53" s="5"/>
      <c r="AE53" s="60"/>
      <c r="AF53" s="61"/>
      <c r="AJ53" s="60"/>
      <c r="AK53" s="61"/>
      <c r="AL53" s="61"/>
      <c r="AM53" s="47"/>
      <c r="AN53" s="47"/>
      <c r="AO53" s="60"/>
      <c r="AP53" s="61"/>
      <c r="AQ53" s="69">
        <f>MATCH(1,AH54:AH57,0)</f>
        <v>1</v>
      </c>
      <c r="AV53" s="60"/>
      <c r="AW53" s="61"/>
      <c r="AX53" s="48"/>
    </row>
    <row r="54" spans="1:59" s="4" customFormat="1" ht="10.5">
      <c r="A54" s="70" t="str">
        <f>'Round 1'!Q19</f>
        <v>Brasiilia</v>
      </c>
      <c r="B54" s="11">
        <f>IF(ISNUMBER('Round 1'!T19),'Round 1'!T19,"")</f>
        <v>2</v>
      </c>
      <c r="C54" s="11">
        <f>IF(ISNUMBER('Round 1'!V19),'Round 1'!V19,"")</f>
        <v>1</v>
      </c>
      <c r="D54" s="71" t="str">
        <f>'Round 1'!S19</f>
        <v>Põhja Korea</v>
      </c>
      <c r="E54" s="46"/>
      <c r="F54" s="11"/>
      <c r="G54" s="72" t="str">
        <f>text!A51</f>
        <v>Elev</v>
      </c>
      <c r="H54" s="73"/>
      <c r="I54" s="74">
        <f>B53</f>
        <v>0</v>
      </c>
      <c r="J54" s="74">
        <f>B55</f>
        <v>1</v>
      </c>
      <c r="K54" s="75">
        <f>C57</f>
        <v>3</v>
      </c>
      <c r="L54" s="46"/>
      <c r="M54" s="11"/>
      <c r="N54" s="72" t="str">
        <f>text!A51</f>
        <v>Elev</v>
      </c>
      <c r="O54" s="73"/>
      <c r="P54" s="74">
        <f>IF(AND(ISNUMBER(I54),ISNUMBER(H55)),IF(I54&gt;H55,3,IF(I54=H55,1,0)),0)</f>
        <v>1</v>
      </c>
      <c r="Q54" s="74">
        <f>IF(AND(ISNUMBER(J54),ISNUMBER(H56)),IF(J54&gt;H56,3,IF(J54=H56,1,0)),0)</f>
        <v>0</v>
      </c>
      <c r="R54" s="75">
        <f>IF(AND(ISNUMBER(K54),ISNUMBER(H57)),IF(K54&gt;H57,3,IF(K54=H57,1,0)),0)</f>
        <v>3</v>
      </c>
      <c r="S54" s="46"/>
      <c r="T54" s="11"/>
      <c r="U54" s="4">
        <v>1</v>
      </c>
      <c r="V54" s="76" t="str">
        <f>text!B51</f>
        <v>Elevandiluurannik</v>
      </c>
      <c r="W54" s="77">
        <f>IF(COUNT(H54:K54)=COUNT(H54:H57),COUNT(H54:H57),"")</f>
        <v>3</v>
      </c>
      <c r="X54" s="74">
        <f>SUM(O54:R54)</f>
        <v>4</v>
      </c>
      <c r="Y54" s="74">
        <f>SUM(H54:K54)</f>
        <v>4</v>
      </c>
      <c r="Z54" s="74">
        <f>SUM(H54:H57)</f>
        <v>3</v>
      </c>
      <c r="AA54" s="75">
        <f>Y54-Z54</f>
        <v>1</v>
      </c>
      <c r="AB54" s="46"/>
      <c r="AC54" s="11"/>
      <c r="AD54" s="78">
        <f>BB54</f>
        <v>3</v>
      </c>
      <c r="AE54" s="46"/>
      <c r="AF54" s="11"/>
      <c r="AG54" s="76">
        <f>X54*10000+AA54*100+Y54</f>
        <v>40104</v>
      </c>
      <c r="AH54" s="76">
        <f>COUNTIF(AG54:AG57,AG54)</f>
        <v>1</v>
      </c>
      <c r="AI54" s="76" t="str">
        <f>IF(AH54=1,"x","")</f>
        <v>x</v>
      </c>
      <c r="AJ54" s="46"/>
      <c r="AK54" s="11"/>
      <c r="AL54" s="79">
        <f>IF(AI54="x",1,IF(AG55=AG54,2,IF(AG56=AG54,3,4)))</f>
        <v>1</v>
      </c>
      <c r="AM54" s="76">
        <f>INDEX(O54:R54,1,AL54)</f>
        <v>0</v>
      </c>
      <c r="AN54" s="80">
        <f>IF(OR(AH58=2,AH58=4),AM54/10,0)</f>
        <v>0</v>
      </c>
      <c r="AO54" s="46"/>
      <c r="AP54" s="11"/>
      <c r="AQ54" s="11"/>
      <c r="AR54" s="77">
        <f>X54-INDEX(O54:R54,1,AQ53)</f>
        <v>4</v>
      </c>
      <c r="AS54" s="76">
        <f>AA54-(INDEX(H54:K54,1,AQ53)-INDEX(H54:H57,AQ53,1))</f>
        <v>1</v>
      </c>
      <c r="AT54" s="77">
        <f>Y54-INDEX(H54:K54,1,AQ53)</f>
        <v>4</v>
      </c>
      <c r="AU54" s="80">
        <f>IF(OR(AH58&lt;&gt;3,AI54="x"),0,AR54/10+AS54/1000+AT54/100000)</f>
        <v>0</v>
      </c>
      <c r="AV54" s="46"/>
      <c r="AW54" s="11"/>
      <c r="AX54" s="80">
        <f>AG54+AN54+AU54</f>
        <v>40104</v>
      </c>
      <c r="AY54" s="77">
        <f>IF(INDEX(AX54:AX57,U54)&gt;=INDEX(AX54:AX57,U55),U54,U55)</f>
        <v>2</v>
      </c>
      <c r="AZ54" s="74">
        <f>IF(INDEX(AX54:AX57,AY54)&gt;=INDEX(AX54:AX57,AY56),AY54,AY56)</f>
        <v>3</v>
      </c>
      <c r="BA54" s="75">
        <f>IF(INDEX(AX54:AX57,AZ54)&gt;=INDEX(AX54:AX57,AZ57),AZ54,AZ57)</f>
        <v>3</v>
      </c>
      <c r="BB54" s="78">
        <f>MATCH(U54,BA54:BA57,0)</f>
        <v>3</v>
      </c>
      <c r="BC54" s="77">
        <f>COUNTIF(AX54:AX57,AX54)</f>
        <v>1</v>
      </c>
      <c r="BD54" s="75" t="str">
        <f>IF(BC54=1,"x","")</f>
        <v>x</v>
      </c>
      <c r="BE54" s="76">
        <f>(BD54="x")*BB54</f>
        <v>3</v>
      </c>
      <c r="BF54" s="47"/>
      <c r="BG54" s="47"/>
    </row>
    <row r="55" spans="1:59" s="4" customFormat="1" ht="10.5">
      <c r="A55" s="70" t="str">
        <f>'Round 1'!Q20</f>
        <v>Elevandiluurannik</v>
      </c>
      <c r="B55" s="11">
        <f>IF(ISNUMBER('Round 1'!T20),'Round 1'!T20,"")</f>
        <v>1</v>
      </c>
      <c r="C55" s="11">
        <f>IF(ISNUMBER('Round 1'!V20),'Round 1'!V20,"")</f>
        <v>3</v>
      </c>
      <c r="D55" s="71" t="str">
        <f>'Round 1'!S20</f>
        <v>Brasiilia</v>
      </c>
      <c r="E55" s="46"/>
      <c r="F55" s="11"/>
      <c r="G55" s="81" t="str">
        <f>text!A52</f>
        <v>POR</v>
      </c>
      <c r="H55" s="82">
        <f>C53</f>
        <v>0</v>
      </c>
      <c r="I55" s="83"/>
      <c r="J55" s="47">
        <f>B58</f>
        <v>0</v>
      </c>
      <c r="K55" s="84">
        <f>C56</f>
        <v>7</v>
      </c>
      <c r="L55" s="46"/>
      <c r="M55" s="11"/>
      <c r="N55" s="81" t="str">
        <f>text!A52</f>
        <v>POR</v>
      </c>
      <c r="O55" s="82">
        <f>IF(AND(ISNUMBER(H55),ISNUMBER(I54)),IF(H55&gt;I54,3,IF(H55=I54,1,0)),0)</f>
        <v>1</v>
      </c>
      <c r="P55" s="83"/>
      <c r="Q55" s="47">
        <f>IF(AND(ISNUMBER(J55),ISNUMBER(I56)),IF(J55&gt;I56,3,IF(J55=I56,1,0)),0)</f>
        <v>1</v>
      </c>
      <c r="R55" s="84">
        <f>IF(AND(ISNUMBER(K55),ISNUMBER(I57)),IF(K55&gt;I57,3,IF(K55=I57,1,0)),0)</f>
        <v>3</v>
      </c>
      <c r="S55" s="46"/>
      <c r="T55" s="11"/>
      <c r="U55" s="4">
        <v>2</v>
      </c>
      <c r="V55" s="85" t="str">
        <f>text!B52</f>
        <v>Portugal</v>
      </c>
      <c r="W55" s="82">
        <f>IF(COUNT(H55:K55)=COUNT(I54:I57),COUNT(I54:I57),"")</f>
        <v>3</v>
      </c>
      <c r="X55" s="47">
        <f>SUM(O55:R55)</f>
        <v>5</v>
      </c>
      <c r="Y55" s="47">
        <f>SUM(H55:K55)</f>
        <v>7</v>
      </c>
      <c r="Z55" s="47">
        <f>SUM(I54:I57)</f>
        <v>0</v>
      </c>
      <c r="AA55" s="84">
        <f>Y55-Z55</f>
        <v>7</v>
      </c>
      <c r="AB55" s="46"/>
      <c r="AC55" s="11"/>
      <c r="AD55" s="86">
        <f>BB55</f>
        <v>2</v>
      </c>
      <c r="AE55" s="46"/>
      <c r="AF55" s="11"/>
      <c r="AG55" s="85">
        <f>X55*10000+AA55*100+Y55</f>
        <v>50707</v>
      </c>
      <c r="AH55" s="85">
        <f>COUNTIF(AG54:AG57,AG55)</f>
        <v>1</v>
      </c>
      <c r="AI55" s="85" t="str">
        <f>IF(AH55=1,"x","")</f>
        <v>x</v>
      </c>
      <c r="AJ55" s="46"/>
      <c r="AK55" s="11"/>
      <c r="AL55" s="87">
        <f>IF(AI55="x",2,IF(AG56=AG55,3,IF(AG57=AG55,4,1)))</f>
        <v>2</v>
      </c>
      <c r="AM55" s="85">
        <f>INDEX(O55:R55,1,AL55)</f>
        <v>0</v>
      </c>
      <c r="AN55" s="88">
        <f>IF(OR(AH58=2,AH58=4),AM55/10,0)</f>
        <v>0</v>
      </c>
      <c r="AO55" s="46"/>
      <c r="AP55" s="11"/>
      <c r="AQ55" s="11"/>
      <c r="AR55" s="82">
        <f>X55-INDEX(O55:R55,1,AQ53)</f>
        <v>4</v>
      </c>
      <c r="AS55" s="85">
        <f>AA55-(INDEX(H55:K55,1,AQ53)-INDEX(I54:I57,AQ53))</f>
        <v>7</v>
      </c>
      <c r="AT55" s="82">
        <f>Y55-INDEX(H55:K55,1,AQ53)</f>
        <v>7</v>
      </c>
      <c r="AU55" s="88">
        <f>IF(OR(AH58&lt;&gt;3,AI55="x"),0,AR55/10+AS55/1000+AT55/100000)</f>
        <v>0</v>
      </c>
      <c r="AV55" s="46"/>
      <c r="AW55" s="11"/>
      <c r="AX55" s="88">
        <f>AG55+AN55+AU55</f>
        <v>50707</v>
      </c>
      <c r="AY55" s="82">
        <f>IF(INDEX(AX54:AX57,U55)&lt;=INDEX(AX54:AX57,U54),U55,U54)</f>
        <v>1</v>
      </c>
      <c r="AZ55" s="47">
        <f>IF(INDEX(AX54:AX57,AY55)&gt;=INDEX(AX54:AX57,AY57),AY55,AY57)</f>
        <v>1</v>
      </c>
      <c r="BA55" s="84">
        <f>IF(INDEX(AX54:AX57,AZ55)&gt;=INDEX(AX54:AX57,AZ56),AZ55,AZ56)</f>
        <v>2</v>
      </c>
      <c r="BB55" s="86">
        <f>MATCH(U55,BA54:BA57,0)</f>
        <v>2</v>
      </c>
      <c r="BC55" s="82">
        <f>COUNTIF(AX54:AX57,AX55)</f>
        <v>1</v>
      </c>
      <c r="BD55" s="84" t="str">
        <f>IF(BC55=1,"x","")</f>
        <v>x</v>
      </c>
      <c r="BE55" s="85">
        <f>(BD55="x")*BB55</f>
        <v>2</v>
      </c>
      <c r="BF55" s="47"/>
      <c r="BG55" s="47"/>
    </row>
    <row r="56" spans="1:59" s="4" customFormat="1" ht="10.5">
      <c r="A56" s="70" t="str">
        <f>'Round 1'!Q21</f>
        <v>Põhja Korea</v>
      </c>
      <c r="B56" s="11">
        <f>IF(ISNUMBER('Round 1'!T21),'Round 1'!T21,"")</f>
        <v>0</v>
      </c>
      <c r="C56" s="11">
        <f>IF(ISNUMBER('Round 1'!V21),'Round 1'!V21,"")</f>
        <v>7</v>
      </c>
      <c r="D56" s="71" t="str">
        <f>'Round 1'!S21</f>
        <v>Portugal</v>
      </c>
      <c r="E56" s="46"/>
      <c r="F56" s="11"/>
      <c r="G56" s="81" t="str">
        <f>text!A53</f>
        <v>BRA</v>
      </c>
      <c r="H56" s="82">
        <f>C55</f>
        <v>3</v>
      </c>
      <c r="I56" s="47">
        <f>C58</f>
        <v>0</v>
      </c>
      <c r="J56" s="83"/>
      <c r="K56" s="84">
        <f>B54</f>
        <v>2</v>
      </c>
      <c r="L56" s="46"/>
      <c r="M56" s="11"/>
      <c r="N56" s="81" t="str">
        <f>text!A53</f>
        <v>BRA</v>
      </c>
      <c r="O56" s="82">
        <f>IF(AND(ISNUMBER(H56),ISNUMBER(J54)),IF(H56&gt;J54,3,IF(H56=J54,1,0)),0)</f>
        <v>3</v>
      </c>
      <c r="P56" s="47">
        <f>IF(AND(ISNUMBER(I56),ISNUMBER(J55)),IF(I56&gt;J55,3,IF(I56=J55,1,0)),0)</f>
        <v>1</v>
      </c>
      <c r="Q56" s="83"/>
      <c r="R56" s="84">
        <f>IF(AND(ISNUMBER(K56),ISNUMBER(J57)),IF(K56&gt;J57,3,IF(K56=J57,1,0)),0)</f>
        <v>3</v>
      </c>
      <c r="S56" s="46"/>
      <c r="T56" s="11"/>
      <c r="U56" s="4">
        <v>3</v>
      </c>
      <c r="V56" s="85" t="str">
        <f>text!B53</f>
        <v>Brasiilia</v>
      </c>
      <c r="W56" s="82">
        <f>IF(COUNT(H56:K56)=COUNT(J54:J57),COUNT(J54:J57),"")</f>
        <v>3</v>
      </c>
      <c r="X56" s="47">
        <f>SUM(O56:R56)</f>
        <v>7</v>
      </c>
      <c r="Y56" s="47">
        <f>SUM(H56:K56)</f>
        <v>5</v>
      </c>
      <c r="Z56" s="47">
        <f>SUM(J54:J57)</f>
        <v>2</v>
      </c>
      <c r="AA56" s="84">
        <f>Y56-Z56</f>
        <v>3</v>
      </c>
      <c r="AB56" s="46"/>
      <c r="AC56" s="11"/>
      <c r="AD56" s="86">
        <f>BB56</f>
        <v>1</v>
      </c>
      <c r="AE56" s="46"/>
      <c r="AF56" s="11"/>
      <c r="AG56" s="85">
        <f>X56*10000+AA56*100+Y56</f>
        <v>70305</v>
      </c>
      <c r="AH56" s="85">
        <f>COUNTIF(AG54:AG57,AG56)</f>
        <v>1</v>
      </c>
      <c r="AI56" s="85" t="str">
        <f>IF(AH56=1,"x","")</f>
        <v>x</v>
      </c>
      <c r="AJ56" s="46"/>
      <c r="AK56" s="11"/>
      <c r="AL56" s="87">
        <f>IF(AI56="x",3,IF(AG57=AG56,4,IF(AG55=AG56,2,1)))</f>
        <v>3</v>
      </c>
      <c r="AM56" s="85">
        <f>INDEX(O56:R56,1,AL56)</f>
        <v>0</v>
      </c>
      <c r="AN56" s="88">
        <f>IF(OR(AH58=2,AH58=4),AM56/10,0)</f>
        <v>0</v>
      </c>
      <c r="AO56" s="46"/>
      <c r="AP56" s="11"/>
      <c r="AQ56" s="11"/>
      <c r="AR56" s="82">
        <f>X56-INDEX(O56:R56,1,AQ53)</f>
        <v>4</v>
      </c>
      <c r="AS56" s="85">
        <f>AA56-(INDEX(H56:K56,1,AQ53)-INDEX(J54:J57,AQ53))</f>
        <v>1</v>
      </c>
      <c r="AT56" s="82">
        <f>Y56-INDEX(H56:K56,1,AQ53)</f>
        <v>2</v>
      </c>
      <c r="AU56" s="88">
        <f>IF(OR(AH58&lt;&gt;3,AI56="x"),0,AR56/10+AS56/1000+AT56/100000)</f>
        <v>0</v>
      </c>
      <c r="AV56" s="46"/>
      <c r="AW56" s="11"/>
      <c r="AX56" s="88">
        <f>AG56+AN56+AU56</f>
        <v>70305</v>
      </c>
      <c r="AY56" s="82">
        <f>IF(INDEX(AX54:AX57,U56)&gt;=INDEX(AX54:AX57,U57),U56,U57)</f>
        <v>3</v>
      </c>
      <c r="AZ56" s="47">
        <f>IF(INDEX(AX54:AX57,AY56)&lt;=INDEX(AX54:AX57,AY54),AY56,AY54)</f>
        <v>2</v>
      </c>
      <c r="BA56" s="84">
        <f>IF(INDEX(AX54:AX57,AZ56)&lt;=INDEX(AX54:AX57,AZ55),AZ56,AZ55)</f>
        <v>1</v>
      </c>
      <c r="BB56" s="86">
        <f>MATCH(U56,BA54:BA57,0)</f>
        <v>1</v>
      </c>
      <c r="BC56" s="82">
        <f>COUNTIF(AX54:AX57,AX56)</f>
        <v>1</v>
      </c>
      <c r="BD56" s="84" t="str">
        <f>IF(BC56=1,"x","")</f>
        <v>x</v>
      </c>
      <c r="BE56" s="85">
        <f>(BD56="x")*BB56</f>
        <v>1</v>
      </c>
      <c r="BF56" s="47"/>
      <c r="BG56" s="47"/>
    </row>
    <row r="57" spans="1:59" s="4" customFormat="1" ht="10.5">
      <c r="A57" s="70" t="str">
        <f>'Round 1'!Q22</f>
        <v>Põhja Korea</v>
      </c>
      <c r="B57" s="11">
        <f>IF(ISNUMBER('Round 1'!T22),'Round 1'!T22,"")</f>
        <v>0</v>
      </c>
      <c r="C57" s="11">
        <f>IF(ISNUMBER('Round 1'!V22),'Round 1'!V22,"")</f>
        <v>3</v>
      </c>
      <c r="D57" s="71" t="str">
        <f>'Round 1'!S22</f>
        <v>Elevandiluurannik</v>
      </c>
      <c r="E57" s="89"/>
      <c r="F57" s="47"/>
      <c r="G57" s="90" t="str">
        <f>text!A54</f>
        <v>KOR_p</v>
      </c>
      <c r="H57" s="91">
        <f>B57</f>
        <v>0</v>
      </c>
      <c r="I57" s="92">
        <f>B56</f>
        <v>0</v>
      </c>
      <c r="J57" s="92">
        <f>C54</f>
        <v>1</v>
      </c>
      <c r="K57" s="93"/>
      <c r="L57" s="89"/>
      <c r="M57" s="47"/>
      <c r="N57" s="90" t="str">
        <f>text!A54</f>
        <v>KOR_p</v>
      </c>
      <c r="O57" s="91">
        <f>IF(AND(ISNUMBER(H57),ISNUMBER(K54)),IF(H57&gt;K54,3,IF(H57=K54,1,0)),0)</f>
        <v>0</v>
      </c>
      <c r="P57" s="92">
        <f>IF(AND(ISNUMBER(I57),ISNUMBER(K55)),IF(I57&gt;K55,3,IF(I57=K55,1,0)),0)</f>
        <v>0</v>
      </c>
      <c r="Q57" s="92">
        <f>IF(AND(ISNUMBER(J57),ISNUMBER(K56)),IF(J57&gt;K56,3,IF(J57=K56,1,0)),0)</f>
        <v>0</v>
      </c>
      <c r="R57" s="93"/>
      <c r="S57" s="89"/>
      <c r="T57" s="47"/>
      <c r="U57" s="4">
        <v>4</v>
      </c>
      <c r="V57" s="94" t="str">
        <f>text!B54</f>
        <v>Põhja Korea</v>
      </c>
      <c r="W57" s="91">
        <f>IF(COUNT(H57:K57)=COUNT(K54:K57),COUNT(K54:K57),"")</f>
        <v>3</v>
      </c>
      <c r="X57" s="92">
        <f>SUM(O57:R57)</f>
        <v>0</v>
      </c>
      <c r="Y57" s="92">
        <f>SUM(H57:K57)</f>
        <v>1</v>
      </c>
      <c r="Z57" s="92">
        <f>SUM(K54:K57)</f>
        <v>12</v>
      </c>
      <c r="AA57" s="95">
        <f>Y57-Z57</f>
        <v>-11</v>
      </c>
      <c r="AB57" s="89"/>
      <c r="AC57" s="47"/>
      <c r="AD57" s="96">
        <f>BB57</f>
        <v>4</v>
      </c>
      <c r="AE57" s="89"/>
      <c r="AF57" s="47"/>
      <c r="AG57" s="94">
        <f>X57*10000+AA57*100+Y57</f>
        <v>-1099</v>
      </c>
      <c r="AH57" s="94">
        <f>COUNTIF(AG54:AG57,AG57)</f>
        <v>1</v>
      </c>
      <c r="AI57" s="94" t="str">
        <f>IF(AH57=1,"x","")</f>
        <v>x</v>
      </c>
      <c r="AJ57" s="89"/>
      <c r="AK57" s="47"/>
      <c r="AL57" s="97">
        <f>IF(AI57="x",4,IF(AG54=AG57,1,IF(AG55=AG57,2,3)))</f>
        <v>4</v>
      </c>
      <c r="AM57" s="94">
        <f>INDEX(O57:R57,1,AL57)</f>
        <v>0</v>
      </c>
      <c r="AN57" s="98">
        <f>IF(OR(AH58=2,AH58=4),AM57/10,0)</f>
        <v>0</v>
      </c>
      <c r="AO57" s="89"/>
      <c r="AP57" s="47"/>
      <c r="AQ57" s="47"/>
      <c r="AR57" s="91">
        <f>X57-INDEX(O57:R57,1,AQ53)</f>
        <v>0</v>
      </c>
      <c r="AS57" s="94">
        <f>AA57-(INDEX(H57:K57,1,AQ53)-INDEX(K54:K57,AQ53))</f>
        <v>-8</v>
      </c>
      <c r="AT57" s="91">
        <f>Y57-INDEX(H57:K57,1,AQ53)</f>
        <v>1</v>
      </c>
      <c r="AU57" s="98">
        <f>IF(OR(AH58&lt;&gt;3,AI57="x"),0,AR57/10+AS57/1000+AT57/100000)</f>
        <v>0</v>
      </c>
      <c r="AV57" s="89"/>
      <c r="AW57" s="47"/>
      <c r="AX57" s="98">
        <f>AG57+AN57+AU57</f>
        <v>-1099</v>
      </c>
      <c r="AY57" s="91">
        <f>IF(INDEX(AX54:AX57,U57)&lt;=INDEX(AX54:AX57,U56),U57,U56)</f>
        <v>4</v>
      </c>
      <c r="AZ57" s="92">
        <f>IF(INDEX(AX54:AX57,AY57)&lt;=INDEX(AX54:AX57,AY55),AY57,AY55)</f>
        <v>4</v>
      </c>
      <c r="BA57" s="95">
        <f>IF(INDEX(AX54:AX57,AZ57)&lt;=INDEX(AX54:AX57,AZ54),AZ57,AZ54)</f>
        <v>4</v>
      </c>
      <c r="BB57" s="96">
        <f>MATCH(U57,BA54:BA57,0)</f>
        <v>4</v>
      </c>
      <c r="BC57" s="91">
        <f>COUNTIF(AX54:AX57,AX57)</f>
        <v>1</v>
      </c>
      <c r="BD57" s="95" t="str">
        <f>IF(BC57=1,"x","")</f>
        <v>x</v>
      </c>
      <c r="BE57" s="85">
        <f>(BD57="x")*BB57</f>
        <v>4</v>
      </c>
      <c r="BF57" s="47"/>
      <c r="BG57" s="47"/>
    </row>
    <row r="58" spans="1:59" s="4" customFormat="1" ht="10.5">
      <c r="A58" s="99" t="str">
        <f>'Round 1'!Q23</f>
        <v>Portugal</v>
      </c>
      <c r="B58" s="100">
        <f>IF(ISNUMBER('Round 1'!T23),'Round 1'!T23,"")</f>
        <v>0</v>
      </c>
      <c r="C58" s="100">
        <f>IF(ISNUMBER('Round 1'!V23),'Round 1'!V23,"")</f>
        <v>0</v>
      </c>
      <c r="D58" s="101" t="str">
        <f>'Round 1'!S23</f>
        <v>Brasiilia</v>
      </c>
      <c r="E58" s="46"/>
      <c r="F58" s="11"/>
      <c r="G58" s="5"/>
      <c r="H58" s="5"/>
      <c r="I58" s="5"/>
      <c r="J58" s="5"/>
      <c r="K58" s="11"/>
      <c r="L58" s="46"/>
      <c r="M58" s="11"/>
      <c r="N58" s="5"/>
      <c r="R58" s="47"/>
      <c r="S58" s="46"/>
      <c r="T58" s="11"/>
      <c r="V58" s="6" t="s">
        <v>61</v>
      </c>
      <c r="W58" s="4" t="b">
        <f>SUM(W54:W57)=12</f>
        <v>1</v>
      </c>
      <c r="AB58" s="46"/>
      <c r="AC58" s="11"/>
      <c r="AD58" s="96" t="str">
        <f>BF58</f>
        <v>ranking clear</v>
      </c>
      <c r="AE58" s="46"/>
      <c r="AF58" s="11"/>
      <c r="AG58" s="102" t="s">
        <v>62</v>
      </c>
      <c r="AH58" s="103">
        <f>MOD(MIN(AH54:AH57)*MAX(AH54:AH57),11)</f>
        <v>1</v>
      </c>
      <c r="AJ58" s="46"/>
      <c r="AK58" s="11"/>
      <c r="AL58" s="11"/>
      <c r="AM58" s="47"/>
      <c r="AN58" s="47"/>
      <c r="AO58" s="46"/>
      <c r="AP58" s="11"/>
      <c r="AQ58" s="11"/>
      <c r="AV58" s="46"/>
      <c r="AW58" s="11"/>
      <c r="BD58" s="104">
        <f>COUNTIF(BD54:BD57,"x")</f>
        <v>4</v>
      </c>
      <c r="BE58" s="103">
        <f>SUM(BE54:BE57)</f>
        <v>10</v>
      </c>
      <c r="BF58" s="103" t="str">
        <f>IF(W58,IF(BD58&gt;=3,text!B$71,IF(AND(BD58=2,BE58=3),text!B$72,text!B$73)),"")</f>
        <v>ranking clear</v>
      </c>
      <c r="BG58" s="47"/>
    </row>
    <row r="59" spans="1:107" ht="10.5">
      <c r="A59" s="10"/>
      <c r="E59" s="46"/>
      <c r="L59" s="46"/>
      <c r="S59" s="46"/>
      <c r="AB59" s="46"/>
      <c r="AE59" s="46"/>
      <c r="AG59" s="49"/>
      <c r="AH59" s="49"/>
      <c r="AJ59" s="46"/>
      <c r="AK59" s="11"/>
      <c r="AL59" s="49"/>
      <c r="AM59" s="49"/>
      <c r="AN59" s="49"/>
      <c r="AO59" s="46"/>
      <c r="AP59" s="11"/>
      <c r="AQ59" s="49"/>
      <c r="AR59" s="124"/>
      <c r="AS59" s="124"/>
      <c r="AT59" s="124"/>
      <c r="AU59" s="49"/>
      <c r="AV59" s="46"/>
      <c r="AW59" s="11"/>
      <c r="AX59" s="47"/>
      <c r="AY59" s="125"/>
      <c r="AZ59" s="125"/>
      <c r="BA59" s="125"/>
      <c r="BB59" s="105"/>
      <c r="BC59" s="124"/>
      <c r="BD59" s="124"/>
      <c r="BE59" s="124"/>
      <c r="BZ59" s="47"/>
      <c r="CA59" s="47"/>
      <c r="CK59" s="47"/>
      <c r="CL59" s="47"/>
      <c r="CO59" s="47"/>
      <c r="CP59" s="47"/>
      <c r="CQ59" s="47"/>
      <c r="CR59" s="47"/>
      <c r="CS59" s="47"/>
      <c r="CW59" s="47"/>
      <c r="CX59" s="47"/>
      <c r="CY59" s="47"/>
      <c r="CZ59" s="47"/>
      <c r="DA59" s="47"/>
      <c r="DB59" s="47"/>
      <c r="DC59" s="47"/>
    </row>
    <row r="60" spans="1:107" ht="10.5">
      <c r="A60" s="10" t="str">
        <f>text!B58</f>
        <v>GROUP H</v>
      </c>
      <c r="E60" s="46"/>
      <c r="L60" s="46"/>
      <c r="S60" s="46"/>
      <c r="AB60" s="46"/>
      <c r="AE60" s="46"/>
      <c r="AG60" s="49"/>
      <c r="AH60" s="49"/>
      <c r="AJ60" s="46"/>
      <c r="AK60" s="11"/>
      <c r="AL60" s="49"/>
      <c r="AM60" s="49"/>
      <c r="AN60" s="49"/>
      <c r="AO60" s="46"/>
      <c r="AP60" s="11"/>
      <c r="AQ60" s="49"/>
      <c r="AR60" s="124"/>
      <c r="AS60" s="124"/>
      <c r="AT60" s="124"/>
      <c r="AU60" s="49"/>
      <c r="AV60" s="46"/>
      <c r="AW60" s="11"/>
      <c r="AX60" s="47"/>
      <c r="AY60" s="125"/>
      <c r="AZ60" s="125"/>
      <c r="BA60" s="125"/>
      <c r="BB60" s="105"/>
      <c r="BC60" s="124"/>
      <c r="BD60" s="124"/>
      <c r="BE60" s="124"/>
      <c r="BZ60" s="47"/>
      <c r="CA60" s="47"/>
      <c r="CK60" s="47"/>
      <c r="CL60" s="47"/>
      <c r="CO60" s="47"/>
      <c r="CP60" s="47"/>
      <c r="CQ60" s="47"/>
      <c r="CR60" s="47"/>
      <c r="CS60" s="47"/>
      <c r="CW60" s="47"/>
      <c r="CX60" s="47"/>
      <c r="CY60" s="47"/>
      <c r="CZ60" s="47"/>
      <c r="DA60" s="47"/>
      <c r="DB60" s="47"/>
      <c r="DC60" s="47"/>
    </row>
    <row r="61" spans="1:50" s="4" customFormat="1" ht="21.75">
      <c r="A61" s="57" t="str">
        <f>'Round 1'!Q26</f>
        <v>Honduuras</v>
      </c>
      <c r="B61" s="58">
        <f>IF(ISNUMBER('Round 1'!T26),'Round 1'!T26,"")</f>
        <v>0</v>
      </c>
      <c r="C61" s="58">
        <f>IF(ISNUMBER('Round 1'!V26),'Round 1'!V26,"")</f>
        <v>1</v>
      </c>
      <c r="D61" s="59" t="str">
        <f>'Round 1'!S26</f>
        <v>Tšiili</v>
      </c>
      <c r="E61" s="60"/>
      <c r="F61" s="61"/>
      <c r="G61" s="62">
        <f>SUM(H62:K65)</f>
        <v>8</v>
      </c>
      <c r="H61" s="63" t="str">
        <f>text!A59</f>
        <v>HON</v>
      </c>
      <c r="I61" s="64" t="str">
        <f>text!A60</f>
        <v>TŠI</v>
      </c>
      <c r="J61" s="64" t="str">
        <f>text!A61</f>
        <v>ESP</v>
      </c>
      <c r="K61" s="65" t="str">
        <f>text!A62</f>
        <v>ŠVE</v>
      </c>
      <c r="L61" s="60"/>
      <c r="M61" s="61"/>
      <c r="N61" s="62">
        <f>SUM(O62:R65)</f>
        <v>17</v>
      </c>
      <c r="O61" s="63" t="str">
        <f>text!A59</f>
        <v>HON</v>
      </c>
      <c r="P61" s="64" t="str">
        <f>text!A60</f>
        <v>TŠI</v>
      </c>
      <c r="Q61" s="64" t="str">
        <f>text!A61</f>
        <v>ESP</v>
      </c>
      <c r="R61" s="65" t="str">
        <f>text!A62</f>
        <v>ŠVE</v>
      </c>
      <c r="S61" s="60"/>
      <c r="T61" s="61"/>
      <c r="W61" s="66" t="str">
        <f>text!A$64</f>
        <v>M</v>
      </c>
      <c r="X61" s="67" t="str">
        <f>text!A$65</f>
        <v>Pts</v>
      </c>
      <c r="Y61" s="67" t="str">
        <f>text!A$66</f>
        <v>Löödud</v>
      </c>
      <c r="Z61" s="67" t="str">
        <f>text!A$67</f>
        <v>Sisse</v>
      </c>
      <c r="AA61" s="68" t="str">
        <f>text!A$68</f>
        <v>Vahe</v>
      </c>
      <c r="AB61" s="60"/>
      <c r="AC61" s="61"/>
      <c r="AD61" s="5"/>
      <c r="AE61" s="60"/>
      <c r="AF61" s="61"/>
      <c r="AJ61" s="60"/>
      <c r="AK61" s="61"/>
      <c r="AL61" s="61"/>
      <c r="AM61" s="47"/>
      <c r="AN61" s="47"/>
      <c r="AO61" s="60"/>
      <c r="AP61" s="61"/>
      <c r="AQ61" s="69">
        <f>MATCH(1,AH62:AH65,0)</f>
        <v>1</v>
      </c>
      <c r="AV61" s="60"/>
      <c r="AW61" s="61"/>
      <c r="AX61" s="48"/>
    </row>
    <row r="62" spans="1:59" s="4" customFormat="1" ht="10.5">
      <c r="A62" s="70" t="str">
        <f>'Round 1'!Q27</f>
        <v>Hispaania</v>
      </c>
      <c r="B62" s="11">
        <f>IF(ISNUMBER('Round 1'!T27),'Round 1'!T27,"")</f>
        <v>0</v>
      </c>
      <c r="C62" s="11">
        <f>IF(ISNUMBER('Round 1'!V27),'Round 1'!V27,"")</f>
        <v>1</v>
      </c>
      <c r="D62" s="71" t="str">
        <f>'Round 1'!S27</f>
        <v>Šveits</v>
      </c>
      <c r="E62" s="46"/>
      <c r="F62" s="11"/>
      <c r="G62" s="72" t="str">
        <f>text!A59</f>
        <v>HON</v>
      </c>
      <c r="H62" s="73"/>
      <c r="I62" s="74">
        <f>B61</f>
        <v>0</v>
      </c>
      <c r="J62" s="74">
        <f>B63</f>
        <v>0</v>
      </c>
      <c r="K62" s="75">
        <f>C65</f>
        <v>0</v>
      </c>
      <c r="L62" s="46"/>
      <c r="M62" s="11"/>
      <c r="N62" s="72" t="str">
        <f>text!A59</f>
        <v>HON</v>
      </c>
      <c r="O62" s="73"/>
      <c r="P62" s="74">
        <f>IF(AND(ISNUMBER(I62),ISNUMBER(H63)),IF(I62&gt;H63,3,IF(I62=H63,1,0)),0)</f>
        <v>0</v>
      </c>
      <c r="Q62" s="74">
        <f>IF(AND(ISNUMBER(J62),ISNUMBER(H64)),IF(J62&gt;H64,3,IF(J62=H64,1,0)),0)</f>
        <v>0</v>
      </c>
      <c r="R62" s="75">
        <f>IF(AND(ISNUMBER(K62),ISNUMBER(H65)),IF(K62&gt;H65,3,IF(K62=H65,1,0)),0)</f>
        <v>1</v>
      </c>
      <c r="S62" s="46"/>
      <c r="T62" s="11"/>
      <c r="U62" s="4">
        <v>1</v>
      </c>
      <c r="V62" s="76" t="str">
        <f>text!B59</f>
        <v>Honduuras</v>
      </c>
      <c r="W62" s="77">
        <f>IF(COUNT(H62:K62)=COUNT(H62:H65),COUNT(H62:H65),"")</f>
        <v>3</v>
      </c>
      <c r="X62" s="74">
        <f>SUM(O62:R62)</f>
        <v>1</v>
      </c>
      <c r="Y62" s="74">
        <f>SUM(H62:K62)</f>
        <v>0</v>
      </c>
      <c r="Z62" s="74">
        <f>SUM(H62:H65)</f>
        <v>3</v>
      </c>
      <c r="AA62" s="75">
        <f>Y62-Z62</f>
        <v>-3</v>
      </c>
      <c r="AB62" s="46"/>
      <c r="AC62" s="11"/>
      <c r="AD62" s="78">
        <f>BB62</f>
        <v>4</v>
      </c>
      <c r="AE62" s="46"/>
      <c r="AF62" s="11"/>
      <c r="AG62" s="76">
        <f>X62*10000+AA62*100+Y62</f>
        <v>9700</v>
      </c>
      <c r="AH62" s="76">
        <f>COUNTIF(AG62:AG65,AG62)</f>
        <v>1</v>
      </c>
      <c r="AI62" s="76" t="str">
        <f>IF(AH62=1,"x","")</f>
        <v>x</v>
      </c>
      <c r="AJ62" s="46"/>
      <c r="AK62" s="11"/>
      <c r="AL62" s="79">
        <f>IF(AI62="x",1,IF(AG63=AG62,2,IF(AG64=AG62,3,4)))</f>
        <v>1</v>
      </c>
      <c r="AM62" s="76">
        <f>INDEX(O62:R62,1,AL62)</f>
        <v>0</v>
      </c>
      <c r="AN62" s="80">
        <f>IF(OR(AH66=2,AH66=4),AM62/10,0)</f>
        <v>0</v>
      </c>
      <c r="AO62" s="46"/>
      <c r="AP62" s="11"/>
      <c r="AQ62" s="11"/>
      <c r="AR62" s="77">
        <f>X62-INDEX(O62:R62,1,AQ61)</f>
        <v>1</v>
      </c>
      <c r="AS62" s="76">
        <f>AA62-(INDEX(H62:K62,1,AQ61)-INDEX(H62:H65,AQ61,1))</f>
        <v>-3</v>
      </c>
      <c r="AT62" s="77">
        <f>Y62-INDEX(H62:K62,1,AQ61)</f>
        <v>0</v>
      </c>
      <c r="AU62" s="80">
        <f>IF(OR(AH66&lt;&gt;3,AI62="x"),0,AR62/10+AS62/1000+AT62/100000)</f>
        <v>0</v>
      </c>
      <c r="AV62" s="46"/>
      <c r="AW62" s="11"/>
      <c r="AX62" s="80">
        <f>AG62+AN62+AU62</f>
        <v>9700</v>
      </c>
      <c r="AY62" s="77">
        <f>IF(INDEX(AX62:AX65,U62)&gt;=INDEX(AX62:AX65,U63),U62,U63)</f>
        <v>2</v>
      </c>
      <c r="AZ62" s="74">
        <f>IF(INDEX(AX62:AX65,AY62)&gt;=INDEX(AX62:AX65,AY64),AY62,AY64)</f>
        <v>3</v>
      </c>
      <c r="BA62" s="75">
        <f>IF(INDEX(AX62:AX65,AZ62)&gt;=INDEX(AX62:AX65,AZ65),AZ62,AZ65)</f>
        <v>3</v>
      </c>
      <c r="BB62" s="78">
        <f>MATCH(U62,BA62:BA65,0)</f>
        <v>4</v>
      </c>
      <c r="BC62" s="77">
        <f>COUNTIF(AX62:AX65,AX62)</f>
        <v>1</v>
      </c>
      <c r="BD62" s="75" t="str">
        <f>IF(BC62=1,"x","")</f>
        <v>x</v>
      </c>
      <c r="BE62" s="76">
        <f>(BD62="x")*BB62</f>
        <v>4</v>
      </c>
      <c r="BF62" s="47"/>
      <c r="BG62" s="47"/>
    </row>
    <row r="63" spans="1:59" s="4" customFormat="1" ht="10.5">
      <c r="A63" s="70" t="str">
        <f>'Round 1'!Q28</f>
        <v>Honduuras</v>
      </c>
      <c r="B63" s="11">
        <f>IF(ISNUMBER('Round 1'!T28),'Round 1'!T28,"")</f>
        <v>0</v>
      </c>
      <c r="C63" s="11">
        <f>IF(ISNUMBER('Round 1'!V28),'Round 1'!V28,"")</f>
        <v>2</v>
      </c>
      <c r="D63" s="71" t="str">
        <f>'Round 1'!S28</f>
        <v>Hispaania</v>
      </c>
      <c r="E63" s="46"/>
      <c r="F63" s="11"/>
      <c r="G63" s="81" t="str">
        <f>text!A60</f>
        <v>TŠI</v>
      </c>
      <c r="H63" s="82">
        <f>C61</f>
        <v>1</v>
      </c>
      <c r="I63" s="83"/>
      <c r="J63" s="47">
        <f>B66</f>
        <v>1</v>
      </c>
      <c r="K63" s="84">
        <f>C64</f>
        <v>1</v>
      </c>
      <c r="L63" s="46"/>
      <c r="M63" s="11"/>
      <c r="N63" s="81" t="str">
        <f>text!A60</f>
        <v>TŠI</v>
      </c>
      <c r="O63" s="82">
        <f>IF(AND(ISNUMBER(H63),ISNUMBER(I62)),IF(H63&gt;I62,3,IF(H63=I62,1,0)),0)</f>
        <v>3</v>
      </c>
      <c r="P63" s="83"/>
      <c r="Q63" s="47">
        <f>IF(AND(ISNUMBER(J63),ISNUMBER(I64)),IF(J63&gt;I64,3,IF(J63=I64,1,0)),0)</f>
        <v>0</v>
      </c>
      <c r="R63" s="84">
        <f>IF(AND(ISNUMBER(K63),ISNUMBER(I65)),IF(K63&gt;I65,3,IF(K63=I65,1,0)),0)</f>
        <v>3</v>
      </c>
      <c r="S63" s="46"/>
      <c r="T63" s="11"/>
      <c r="U63" s="4">
        <v>2</v>
      </c>
      <c r="V63" s="85" t="str">
        <f>text!B60</f>
        <v>Tšiili</v>
      </c>
      <c r="W63" s="82">
        <f>IF(COUNT(H63:K63)=COUNT(I62:I65),COUNT(I62:I65),"")</f>
        <v>3</v>
      </c>
      <c r="X63" s="47">
        <f>SUM(O63:R63)</f>
        <v>6</v>
      </c>
      <c r="Y63" s="47">
        <f>SUM(H63:K63)</f>
        <v>3</v>
      </c>
      <c r="Z63" s="47">
        <f>SUM(I62:I65)</f>
        <v>2</v>
      </c>
      <c r="AA63" s="84">
        <f>Y63-Z63</f>
        <v>1</v>
      </c>
      <c r="AB63" s="46"/>
      <c r="AC63" s="11"/>
      <c r="AD63" s="86">
        <f>BB63</f>
        <v>2</v>
      </c>
      <c r="AE63" s="46"/>
      <c r="AF63" s="11"/>
      <c r="AG63" s="85">
        <f>X63*10000+AA63*100+Y63</f>
        <v>60103</v>
      </c>
      <c r="AH63" s="85">
        <f>COUNTIF(AG62:AG65,AG63)</f>
        <v>1</v>
      </c>
      <c r="AI63" s="85" t="str">
        <f>IF(AH63=1,"x","")</f>
        <v>x</v>
      </c>
      <c r="AJ63" s="46"/>
      <c r="AK63" s="11"/>
      <c r="AL63" s="87">
        <f>IF(AI63="x",2,IF(AG64=AG63,3,IF(AG65=AG63,4,1)))</f>
        <v>2</v>
      </c>
      <c r="AM63" s="85">
        <f>INDEX(O63:R63,1,AL63)</f>
        <v>0</v>
      </c>
      <c r="AN63" s="88">
        <f>IF(OR(AH66=2,AH66=4),AM63/10,0)</f>
        <v>0</v>
      </c>
      <c r="AO63" s="46"/>
      <c r="AP63" s="11"/>
      <c r="AQ63" s="11"/>
      <c r="AR63" s="82">
        <f>X63-INDEX(O63:R63,1,AQ61)</f>
        <v>3</v>
      </c>
      <c r="AS63" s="85">
        <f>AA63-(INDEX(H63:K63,1,AQ61)-INDEX(I62:I65,AQ61))</f>
        <v>0</v>
      </c>
      <c r="AT63" s="82">
        <f>Y63-INDEX(H63:K63,1,AQ61)</f>
        <v>2</v>
      </c>
      <c r="AU63" s="88">
        <f>IF(OR(AH66&lt;&gt;3,AI63="x"),0,AR63/10+AS63/1000+AT63/100000)</f>
        <v>0</v>
      </c>
      <c r="AV63" s="46"/>
      <c r="AW63" s="11"/>
      <c r="AX63" s="88">
        <f>AG63+AN63+AU63</f>
        <v>60103</v>
      </c>
      <c r="AY63" s="82">
        <f>IF(INDEX(AX62:AX65,U63)&lt;=INDEX(AX62:AX65,U62),U63,U62)</f>
        <v>1</v>
      </c>
      <c r="AZ63" s="47">
        <f>IF(INDEX(AX62:AX65,AY63)&gt;=INDEX(AX62:AX65,AY65),AY63,AY65)</f>
        <v>4</v>
      </c>
      <c r="BA63" s="84">
        <f>IF(INDEX(AX62:AX65,AZ63)&gt;=INDEX(AX62:AX65,AZ64),AZ63,AZ64)</f>
        <v>2</v>
      </c>
      <c r="BB63" s="86">
        <f>MATCH(U63,BA62:BA65,0)</f>
        <v>2</v>
      </c>
      <c r="BC63" s="82">
        <f>COUNTIF(AX62:AX65,AX63)</f>
        <v>1</v>
      </c>
      <c r="BD63" s="84" t="str">
        <f>IF(BC63=1,"x","")</f>
        <v>x</v>
      </c>
      <c r="BE63" s="85">
        <f>(BD63="x")*BB63</f>
        <v>2</v>
      </c>
      <c r="BF63" s="47"/>
      <c r="BG63" s="47"/>
    </row>
    <row r="64" spans="1:59" s="4" customFormat="1" ht="10.5">
      <c r="A64" s="70" t="str">
        <f>'Round 1'!Q29</f>
        <v>Šveits</v>
      </c>
      <c r="B64" s="11">
        <f>IF(ISNUMBER('Round 1'!T29),'Round 1'!T29,"")</f>
        <v>0</v>
      </c>
      <c r="C64" s="11">
        <f>IF(ISNUMBER('Round 1'!V29),'Round 1'!V29,"")</f>
        <v>1</v>
      </c>
      <c r="D64" s="71" t="str">
        <f>'Round 1'!S29</f>
        <v>Tšiili</v>
      </c>
      <c r="E64" s="46"/>
      <c r="F64" s="11"/>
      <c r="G64" s="81" t="str">
        <f>text!A61</f>
        <v>ESP</v>
      </c>
      <c r="H64" s="82">
        <f>C63</f>
        <v>2</v>
      </c>
      <c r="I64" s="47">
        <f>C66</f>
        <v>2</v>
      </c>
      <c r="J64" s="83"/>
      <c r="K64" s="84">
        <f>B62</f>
        <v>0</v>
      </c>
      <c r="L64" s="46"/>
      <c r="M64" s="11"/>
      <c r="N64" s="81" t="str">
        <f>text!A61</f>
        <v>ESP</v>
      </c>
      <c r="O64" s="82">
        <f>IF(AND(ISNUMBER(H64),ISNUMBER(J62)),IF(H64&gt;J62,3,IF(H64=J62,1,0)),0)</f>
        <v>3</v>
      </c>
      <c r="P64" s="47">
        <f>IF(AND(ISNUMBER(I64),ISNUMBER(J63)),IF(I64&gt;J63,3,IF(I64=J63,1,0)),0)</f>
        <v>3</v>
      </c>
      <c r="Q64" s="83"/>
      <c r="R64" s="84">
        <f>IF(AND(ISNUMBER(K64),ISNUMBER(J65)),IF(K64&gt;J65,3,IF(K64=J65,1,0)),0)</f>
        <v>0</v>
      </c>
      <c r="S64" s="46"/>
      <c r="T64" s="11"/>
      <c r="U64" s="4">
        <v>3</v>
      </c>
      <c r="V64" s="85" t="str">
        <f>text!B61</f>
        <v>Hispaania</v>
      </c>
      <c r="W64" s="82">
        <f>IF(COUNT(H64:K64)=COUNT(J62:J65),COUNT(J62:J65),"")</f>
        <v>3</v>
      </c>
      <c r="X64" s="47">
        <f>SUM(O64:R64)</f>
        <v>6</v>
      </c>
      <c r="Y64" s="47">
        <f>SUM(H64:K64)</f>
        <v>4</v>
      </c>
      <c r="Z64" s="47">
        <f>SUM(J62:J65)</f>
        <v>2</v>
      </c>
      <c r="AA64" s="84">
        <f>Y64-Z64</f>
        <v>2</v>
      </c>
      <c r="AB64" s="46"/>
      <c r="AC64" s="11"/>
      <c r="AD64" s="86">
        <f>BB64</f>
        <v>1</v>
      </c>
      <c r="AE64" s="46"/>
      <c r="AF64" s="11"/>
      <c r="AG64" s="85">
        <f>X64*10000+AA64*100+Y64</f>
        <v>60204</v>
      </c>
      <c r="AH64" s="85">
        <f>COUNTIF(AG62:AG65,AG64)</f>
        <v>1</v>
      </c>
      <c r="AI64" s="85" t="str">
        <f>IF(AH64=1,"x","")</f>
        <v>x</v>
      </c>
      <c r="AJ64" s="46"/>
      <c r="AK64" s="11"/>
      <c r="AL64" s="87">
        <f>IF(AI64="x",3,IF(AG65=AG64,4,IF(AG63=AG64,2,1)))</f>
        <v>3</v>
      </c>
      <c r="AM64" s="85">
        <f>INDEX(O64:R64,1,AL64)</f>
        <v>0</v>
      </c>
      <c r="AN64" s="88">
        <f>IF(OR(AH66=2,AH66=4),AM64/10,0)</f>
        <v>0</v>
      </c>
      <c r="AO64" s="46"/>
      <c r="AP64" s="11"/>
      <c r="AQ64" s="11"/>
      <c r="AR64" s="82">
        <f>X64-INDEX(O64:R64,1,AQ61)</f>
        <v>3</v>
      </c>
      <c r="AS64" s="85">
        <f>AA64-(INDEX(H64:K64,1,AQ61)-INDEX(J62:J65,AQ61))</f>
        <v>0</v>
      </c>
      <c r="AT64" s="82">
        <f>Y64-INDEX(H64:K64,1,AQ61)</f>
        <v>2</v>
      </c>
      <c r="AU64" s="88">
        <f>IF(OR(AH66&lt;&gt;3,AI64="x"),0,AR64/10+AS64/1000+AT64/100000)</f>
        <v>0</v>
      </c>
      <c r="AV64" s="46"/>
      <c r="AW64" s="11"/>
      <c r="AX64" s="88">
        <f>AG64+AN64+AU64</f>
        <v>60204</v>
      </c>
      <c r="AY64" s="82">
        <f>IF(INDEX(AX62:AX65,U64)&gt;=INDEX(AX62:AX65,U65),U64,U65)</f>
        <v>3</v>
      </c>
      <c r="AZ64" s="47">
        <f>IF(INDEX(AX62:AX65,AY64)&lt;=INDEX(AX62:AX65,AY62),AY64,AY62)</f>
        <v>2</v>
      </c>
      <c r="BA64" s="84">
        <f>IF(INDEX(AX62:AX65,AZ64)&lt;=INDEX(AX62:AX65,AZ63),AZ64,AZ63)</f>
        <v>4</v>
      </c>
      <c r="BB64" s="86">
        <f>MATCH(U64,BA62:BA65,0)</f>
        <v>1</v>
      </c>
      <c r="BC64" s="82">
        <f>COUNTIF(AX62:AX65,AX64)</f>
        <v>1</v>
      </c>
      <c r="BD64" s="84" t="str">
        <f>IF(BC64=1,"x","")</f>
        <v>x</v>
      </c>
      <c r="BE64" s="85">
        <f>(BD64="x")*BB64</f>
        <v>1</v>
      </c>
      <c r="BF64" s="47"/>
      <c r="BG64" s="47"/>
    </row>
    <row r="65" spans="1:59" s="4" customFormat="1" ht="10.5">
      <c r="A65" s="70" t="str">
        <f>'Round 1'!Q30</f>
        <v>Šveits</v>
      </c>
      <c r="B65" s="11">
        <f>IF(ISNUMBER('Round 1'!T30),'Round 1'!T30,"")</f>
        <v>0</v>
      </c>
      <c r="C65" s="11">
        <f>IF(ISNUMBER('Round 1'!V30),'Round 1'!V30,"")</f>
        <v>0</v>
      </c>
      <c r="D65" s="71" t="str">
        <f>'Round 1'!S30</f>
        <v>Honduuras</v>
      </c>
      <c r="E65" s="89"/>
      <c r="F65" s="47"/>
      <c r="G65" s="90" t="str">
        <f>text!A62</f>
        <v>ŠVE</v>
      </c>
      <c r="H65" s="91">
        <f>B65</f>
        <v>0</v>
      </c>
      <c r="I65" s="92">
        <f>B64</f>
        <v>0</v>
      </c>
      <c r="J65" s="92">
        <f>C62</f>
        <v>1</v>
      </c>
      <c r="K65" s="93"/>
      <c r="L65" s="89"/>
      <c r="M65" s="47"/>
      <c r="N65" s="90" t="str">
        <f>text!A62</f>
        <v>ŠVE</v>
      </c>
      <c r="O65" s="91">
        <f>IF(AND(ISNUMBER(H65),ISNUMBER(K62)),IF(H65&gt;K62,3,IF(H65=K62,1,0)),0)</f>
        <v>1</v>
      </c>
      <c r="P65" s="92">
        <f>IF(AND(ISNUMBER(I65),ISNUMBER(K63)),IF(I65&gt;K63,3,IF(I65=K63,1,0)),0)</f>
        <v>0</v>
      </c>
      <c r="Q65" s="92">
        <f>IF(AND(ISNUMBER(J65),ISNUMBER(K64)),IF(J65&gt;K64,3,IF(J65=K64,1,0)),0)</f>
        <v>3</v>
      </c>
      <c r="R65" s="93"/>
      <c r="S65" s="89"/>
      <c r="T65" s="47"/>
      <c r="U65" s="4">
        <v>4</v>
      </c>
      <c r="V65" s="94" t="str">
        <f>text!B62</f>
        <v>Šveits</v>
      </c>
      <c r="W65" s="91">
        <f>IF(COUNT(H65:K65)=COUNT(K62:K65),COUNT(K62:K65),"")</f>
        <v>3</v>
      </c>
      <c r="X65" s="92">
        <f>SUM(O65:R65)</f>
        <v>4</v>
      </c>
      <c r="Y65" s="92">
        <f>SUM(H65:K65)</f>
        <v>1</v>
      </c>
      <c r="Z65" s="92">
        <f>SUM(K62:K65)</f>
        <v>1</v>
      </c>
      <c r="AA65" s="95">
        <f>Y65-Z65</f>
        <v>0</v>
      </c>
      <c r="AB65" s="89"/>
      <c r="AC65" s="47"/>
      <c r="AD65" s="96">
        <f>BB65</f>
        <v>3</v>
      </c>
      <c r="AE65" s="89"/>
      <c r="AF65" s="47"/>
      <c r="AG65" s="94">
        <f>X65*10000+AA65*100+Y65</f>
        <v>40001</v>
      </c>
      <c r="AH65" s="94">
        <f>COUNTIF(AG62:AG65,AG65)</f>
        <v>1</v>
      </c>
      <c r="AI65" s="94" t="str">
        <f>IF(AH65=1,"x","")</f>
        <v>x</v>
      </c>
      <c r="AJ65" s="89"/>
      <c r="AK65" s="47"/>
      <c r="AL65" s="97">
        <f>IF(AI65="x",4,IF(AG62=AG65,1,IF(AG63=AG65,2,3)))</f>
        <v>4</v>
      </c>
      <c r="AM65" s="94">
        <f>INDEX(O65:R65,1,AL65)</f>
        <v>0</v>
      </c>
      <c r="AN65" s="98">
        <f>IF(OR(AH66=2,AH66=4),AM65/10,0)</f>
        <v>0</v>
      </c>
      <c r="AO65" s="89"/>
      <c r="AP65" s="47"/>
      <c r="AQ65" s="47"/>
      <c r="AR65" s="91">
        <f>X65-INDEX(O65:R65,1,AQ61)</f>
        <v>3</v>
      </c>
      <c r="AS65" s="94">
        <f>AA65-(INDEX(H65:K65,1,AQ61)-INDEX(K62:K65,AQ61))</f>
        <v>0</v>
      </c>
      <c r="AT65" s="91">
        <f>Y65-INDEX(H65:K65,1,AQ61)</f>
        <v>1</v>
      </c>
      <c r="AU65" s="98">
        <f>IF(OR(AH66&lt;&gt;3,AI65="x"),0,AR65/10+AS65/1000+AT65/100000)</f>
        <v>0</v>
      </c>
      <c r="AV65" s="89"/>
      <c r="AW65" s="47"/>
      <c r="AX65" s="98">
        <f>AG65+AN65+AU65</f>
        <v>40001</v>
      </c>
      <c r="AY65" s="91">
        <f>IF(INDEX(AX62:AX65,U65)&lt;=INDEX(AX62:AX65,U64),U65,U64)</f>
        <v>4</v>
      </c>
      <c r="AZ65" s="92">
        <f>IF(INDEX(AX62:AX65,AY65)&lt;=INDEX(AX62:AX65,AY63),AY65,AY63)</f>
        <v>1</v>
      </c>
      <c r="BA65" s="95">
        <f>IF(INDEX(AX62:AX65,AZ65)&lt;=INDEX(AX62:AX65,AZ62),AZ65,AZ62)</f>
        <v>1</v>
      </c>
      <c r="BB65" s="96">
        <f>MATCH(U65,BA62:BA65,0)</f>
        <v>3</v>
      </c>
      <c r="BC65" s="91">
        <f>COUNTIF(AX62:AX65,AX65)</f>
        <v>1</v>
      </c>
      <c r="BD65" s="95" t="str">
        <f>IF(BC65=1,"x","")</f>
        <v>x</v>
      </c>
      <c r="BE65" s="85">
        <f>(BD65="x")*BB65</f>
        <v>3</v>
      </c>
      <c r="BF65" s="47"/>
      <c r="BG65" s="47"/>
    </row>
    <row r="66" spans="1:59" s="4" customFormat="1" ht="10.5">
      <c r="A66" s="99" t="str">
        <f>'Round 1'!Q31</f>
        <v>Tšiili</v>
      </c>
      <c r="B66" s="100">
        <f>IF(ISNUMBER('Round 1'!T31),'Round 1'!T31,"")</f>
        <v>1</v>
      </c>
      <c r="C66" s="100">
        <f>IF(ISNUMBER('Round 1'!V31),'Round 1'!V31,"")</f>
        <v>2</v>
      </c>
      <c r="D66" s="101" t="str">
        <f>'Round 1'!S31</f>
        <v>Hispaania</v>
      </c>
      <c r="E66" s="46"/>
      <c r="F66" s="11"/>
      <c r="G66" s="5"/>
      <c r="H66" s="5"/>
      <c r="I66" s="5"/>
      <c r="J66" s="5"/>
      <c r="K66" s="11"/>
      <c r="L66" s="46"/>
      <c r="M66" s="11"/>
      <c r="N66" s="5"/>
      <c r="R66" s="47"/>
      <c r="S66" s="46"/>
      <c r="T66" s="11"/>
      <c r="V66" s="6" t="s">
        <v>61</v>
      </c>
      <c r="W66" s="4" t="b">
        <f>SUM(W62:W65)=12</f>
        <v>1</v>
      </c>
      <c r="AB66" s="46"/>
      <c r="AC66" s="11"/>
      <c r="AD66" s="96" t="str">
        <f>BF66</f>
        <v>ranking clear</v>
      </c>
      <c r="AE66" s="46"/>
      <c r="AF66" s="11"/>
      <c r="AG66" s="102" t="s">
        <v>62</v>
      </c>
      <c r="AH66" s="103">
        <f>MOD(MIN(AH62:AH65)*MAX(AH62:AH65),11)</f>
        <v>1</v>
      </c>
      <c r="AJ66" s="46"/>
      <c r="AK66" s="11"/>
      <c r="AL66" s="11"/>
      <c r="AM66" s="47"/>
      <c r="AN66" s="47"/>
      <c r="AO66" s="46"/>
      <c r="AP66" s="11"/>
      <c r="AQ66" s="11"/>
      <c r="AV66" s="46"/>
      <c r="AW66" s="11"/>
      <c r="BD66" s="104">
        <f>COUNTIF(BD62:BD65,"x")</f>
        <v>4</v>
      </c>
      <c r="BE66" s="103">
        <f>SUM(BE62:BE65)</f>
        <v>10</v>
      </c>
      <c r="BF66" s="103" t="str">
        <f>IF(W66,IF(BD66&gt;=3,text!B$71,IF(AND(BD66=2,BE66=3),text!B$72,text!B$73)),"")</f>
        <v>ranking clear</v>
      </c>
      <c r="BG66" s="47"/>
    </row>
    <row r="67" spans="1:107" ht="10.5">
      <c r="A67" s="10"/>
      <c r="E67" s="46"/>
      <c r="L67" s="46"/>
      <c r="S67" s="46"/>
      <c r="AB67" s="46"/>
      <c r="AE67" s="46"/>
      <c r="AG67" s="49"/>
      <c r="AH67" s="49"/>
      <c r="AJ67" s="46"/>
      <c r="AK67" s="11"/>
      <c r="AL67" s="49"/>
      <c r="AM67" s="49"/>
      <c r="AN67" s="49"/>
      <c r="AO67" s="46"/>
      <c r="AP67" s="11"/>
      <c r="AQ67" s="49"/>
      <c r="AR67" s="124"/>
      <c r="AS67" s="124"/>
      <c r="AT67" s="124"/>
      <c r="AU67" s="49"/>
      <c r="AV67" s="46"/>
      <c r="AW67" s="11"/>
      <c r="AX67" s="47"/>
      <c r="AY67" s="125"/>
      <c r="AZ67" s="125"/>
      <c r="BA67" s="125"/>
      <c r="BB67" s="105"/>
      <c r="BC67" s="124"/>
      <c r="BD67" s="124"/>
      <c r="BE67" s="124"/>
      <c r="BZ67" s="47"/>
      <c r="CA67" s="47"/>
      <c r="CK67" s="47"/>
      <c r="CL67" s="47"/>
      <c r="CO67" s="47"/>
      <c r="CP67" s="47"/>
      <c r="CQ67" s="47"/>
      <c r="CR67" s="47"/>
      <c r="CS67" s="47"/>
      <c r="CW67" s="47"/>
      <c r="CX67" s="47"/>
      <c r="CY67" s="47"/>
      <c r="CZ67" s="47"/>
      <c r="DA67" s="47"/>
      <c r="DB67" s="47"/>
      <c r="DC67" s="47"/>
    </row>
  </sheetData>
  <sheetProtection/>
  <mergeCells count="54">
    <mergeCell ref="AY3:BA3"/>
    <mergeCell ref="BC3:BE3"/>
    <mergeCell ref="AR4:AT4"/>
    <mergeCell ref="AY4:BA4"/>
    <mergeCell ref="BC4:BE4"/>
    <mergeCell ref="AY12:BA12"/>
    <mergeCell ref="BC12:BE12"/>
    <mergeCell ref="AR11:AT11"/>
    <mergeCell ref="AY11:BA11"/>
    <mergeCell ref="BC11:BE11"/>
    <mergeCell ref="A1:D1"/>
    <mergeCell ref="G1:K1"/>
    <mergeCell ref="N1:R1"/>
    <mergeCell ref="AR12:AT12"/>
    <mergeCell ref="AR3:AT3"/>
    <mergeCell ref="AR19:AT19"/>
    <mergeCell ref="AY19:BA19"/>
    <mergeCell ref="BC19:BE19"/>
    <mergeCell ref="AR20:AT20"/>
    <mergeCell ref="AY20:BA20"/>
    <mergeCell ref="BC20:BE20"/>
    <mergeCell ref="AY27:BA27"/>
    <mergeCell ref="BC27:BE27"/>
    <mergeCell ref="AR28:AT28"/>
    <mergeCell ref="AY28:BA28"/>
    <mergeCell ref="BC28:BE28"/>
    <mergeCell ref="AR27:AT27"/>
    <mergeCell ref="AR35:AT35"/>
    <mergeCell ref="AY35:BA35"/>
    <mergeCell ref="BC35:BE35"/>
    <mergeCell ref="AR36:AT36"/>
    <mergeCell ref="AY36:BA36"/>
    <mergeCell ref="BC36:BE36"/>
    <mergeCell ref="AR43:AT43"/>
    <mergeCell ref="AY43:BA43"/>
    <mergeCell ref="BC43:BE43"/>
    <mergeCell ref="BC44:BE44"/>
    <mergeCell ref="AR51:AT51"/>
    <mergeCell ref="AY51:BA51"/>
    <mergeCell ref="BC51:BE51"/>
    <mergeCell ref="AR52:AT52"/>
    <mergeCell ref="AY52:BA52"/>
    <mergeCell ref="BC52:BE52"/>
    <mergeCell ref="AR44:AT44"/>
    <mergeCell ref="AY44:BA44"/>
    <mergeCell ref="AR67:AT67"/>
    <mergeCell ref="AY67:BA67"/>
    <mergeCell ref="BC67:BE67"/>
    <mergeCell ref="AR59:AT59"/>
    <mergeCell ref="AY59:BA59"/>
    <mergeCell ref="BC59:BE59"/>
    <mergeCell ref="AR60:AT60"/>
    <mergeCell ref="AY60:BA60"/>
    <mergeCell ref="BC60:BE60"/>
  </mergeCells>
  <conditionalFormatting sqref="BF10:BG10 BF58:BG58 BF18:BG18 BF26:BG26 BF34:BG34 BF42:BG42 BF50:BG50 BF66:BG66">
    <cfRule type="expression" priority="1" dxfId="0" stopIfTrue="1">
      <formula>OR(#REF!=1,#REF!=4)</formula>
    </cfRule>
  </conditionalFormatting>
  <printOptions/>
  <pageMargins left="0.75" right="0.75" top="1" bottom="1" header="0.4921259845" footer="0.4921259845"/>
  <pageSetup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B88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11.421875" style="3" customWidth="1"/>
    <col min="2" max="2" width="66.57421875" style="2" bestFit="1" customWidth="1"/>
    <col min="3" max="16384" width="11.421875" style="9" customWidth="1"/>
  </cols>
  <sheetData>
    <row r="1" spans="1:2" ht="10.5">
      <c r="A1" s="8" t="s">
        <v>16</v>
      </c>
      <c r="B1" s="9" t="s">
        <v>17</v>
      </c>
    </row>
    <row r="2" spans="1:2" ht="10.5">
      <c r="A2" s="3" t="s">
        <v>6</v>
      </c>
      <c r="B2" s="2" t="s">
        <v>28</v>
      </c>
    </row>
    <row r="3" spans="1:2" ht="10.5">
      <c r="A3" s="3" t="s">
        <v>65</v>
      </c>
      <c r="B3" s="2" t="s">
        <v>66</v>
      </c>
    </row>
    <row r="4" spans="1:2" ht="10.5">
      <c r="A4" s="3" t="s">
        <v>40</v>
      </c>
      <c r="B4" s="2" t="s">
        <v>67</v>
      </c>
    </row>
    <row r="5" spans="1:2" ht="10.5">
      <c r="A5" s="3" t="s">
        <v>69</v>
      </c>
      <c r="B5" s="2" t="s">
        <v>68</v>
      </c>
    </row>
    <row r="6" spans="1:2" ht="10.5">
      <c r="A6" s="3" t="s">
        <v>46</v>
      </c>
      <c r="B6" s="2" t="s">
        <v>70</v>
      </c>
    </row>
    <row r="10" spans="1:2" ht="10.5">
      <c r="A10" s="3" t="s">
        <v>7</v>
      </c>
      <c r="B10" s="2" t="s">
        <v>29</v>
      </c>
    </row>
    <row r="11" spans="1:2" ht="10.5">
      <c r="A11" s="3" t="s">
        <v>47</v>
      </c>
      <c r="B11" s="2" t="s">
        <v>71</v>
      </c>
    </row>
    <row r="12" spans="1:2" ht="10.5">
      <c r="A12" s="3" t="s">
        <v>73</v>
      </c>
      <c r="B12" s="2" t="s">
        <v>72</v>
      </c>
    </row>
    <row r="13" spans="1:2" ht="10.5">
      <c r="A13" s="3" t="s">
        <v>129</v>
      </c>
      <c r="B13" s="2" t="s">
        <v>74</v>
      </c>
    </row>
    <row r="14" spans="1:2" ht="10.5">
      <c r="A14" s="3" t="s">
        <v>39</v>
      </c>
      <c r="B14" s="2" t="s">
        <v>75</v>
      </c>
    </row>
    <row r="18" spans="1:2" ht="10.5">
      <c r="A18" s="3" t="s">
        <v>10</v>
      </c>
      <c r="B18" s="2" t="s">
        <v>30</v>
      </c>
    </row>
    <row r="19" spans="1:2" ht="10.5">
      <c r="A19" s="3" t="s">
        <v>77</v>
      </c>
      <c r="B19" s="2" t="s">
        <v>80</v>
      </c>
    </row>
    <row r="20" spans="1:2" ht="10.5">
      <c r="A20" s="3" t="s">
        <v>79</v>
      </c>
      <c r="B20" s="2" t="s">
        <v>81</v>
      </c>
    </row>
    <row r="21" spans="1:2" ht="10.5">
      <c r="A21" s="3" t="s">
        <v>37</v>
      </c>
      <c r="B21" s="2" t="s">
        <v>76</v>
      </c>
    </row>
    <row r="22" spans="1:2" ht="10.5">
      <c r="A22" s="3" t="s">
        <v>27</v>
      </c>
      <c r="B22" s="2" t="s">
        <v>78</v>
      </c>
    </row>
    <row r="26" spans="1:2" ht="10.5">
      <c r="A26" s="3" t="s">
        <v>11</v>
      </c>
      <c r="B26" s="2" t="s">
        <v>31</v>
      </c>
    </row>
    <row r="27" spans="1:2" ht="10.5">
      <c r="A27" s="3" t="s">
        <v>84</v>
      </c>
      <c r="B27" s="2" t="s">
        <v>82</v>
      </c>
    </row>
    <row r="28" spans="1:2" ht="10.5">
      <c r="A28" s="3" t="s">
        <v>43</v>
      </c>
      <c r="B28" s="2" t="s">
        <v>83</v>
      </c>
    </row>
    <row r="29" spans="1:2" ht="10.5">
      <c r="A29" s="3" t="s">
        <v>36</v>
      </c>
      <c r="B29" s="2" t="s">
        <v>85</v>
      </c>
    </row>
    <row r="30" spans="1:2" ht="10.5">
      <c r="A30" s="3" t="s">
        <v>45</v>
      </c>
      <c r="B30" s="2" t="s">
        <v>86</v>
      </c>
    </row>
    <row r="34" spans="1:2" ht="10.5">
      <c r="A34" s="3" t="s">
        <v>12</v>
      </c>
      <c r="B34" s="2" t="s">
        <v>32</v>
      </c>
    </row>
    <row r="35" spans="1:2" ht="10.5">
      <c r="A35" s="3" t="s">
        <v>130</v>
      </c>
      <c r="B35" s="2" t="s">
        <v>87</v>
      </c>
    </row>
    <row r="36" spans="1:2" ht="10.5">
      <c r="A36" s="3" t="s">
        <v>131</v>
      </c>
      <c r="B36" s="2" t="s">
        <v>88</v>
      </c>
    </row>
    <row r="37" spans="1:2" ht="10.5">
      <c r="A37" s="3" t="s">
        <v>132</v>
      </c>
      <c r="B37" s="2" t="s">
        <v>89</v>
      </c>
    </row>
    <row r="38" spans="1:2" ht="10.5">
      <c r="A38" s="3" t="s">
        <v>133</v>
      </c>
      <c r="B38" s="2" t="s">
        <v>90</v>
      </c>
    </row>
    <row r="42" spans="1:2" ht="10.5">
      <c r="A42" s="3" t="s">
        <v>13</v>
      </c>
      <c r="B42" s="2" t="s">
        <v>33</v>
      </c>
    </row>
    <row r="43" spans="1:2" ht="10.5">
      <c r="A43" s="3" t="s">
        <v>42</v>
      </c>
      <c r="B43" s="2" t="s">
        <v>91</v>
      </c>
    </row>
    <row r="44" spans="1:2" ht="10.5">
      <c r="A44" s="3" t="s">
        <v>38</v>
      </c>
      <c r="B44" s="2" t="s">
        <v>25</v>
      </c>
    </row>
    <row r="45" spans="1:2" ht="10.5">
      <c r="A45" s="3" t="s">
        <v>94</v>
      </c>
      <c r="B45" s="2" t="s">
        <v>92</v>
      </c>
    </row>
    <row r="46" spans="1:2" ht="10.5">
      <c r="A46" s="3" t="s">
        <v>79</v>
      </c>
      <c r="B46" s="2" t="s">
        <v>93</v>
      </c>
    </row>
    <row r="50" spans="1:2" ht="10.5">
      <c r="A50" s="3" t="s">
        <v>14</v>
      </c>
      <c r="B50" s="2" t="s">
        <v>34</v>
      </c>
    </row>
    <row r="51" spans="1:2" ht="10.5">
      <c r="A51" s="3" t="s">
        <v>99</v>
      </c>
      <c r="B51" s="2" t="s">
        <v>96</v>
      </c>
    </row>
    <row r="52" spans="1:2" ht="10.5">
      <c r="A52" s="3" t="s">
        <v>41</v>
      </c>
      <c r="B52" s="2" t="s">
        <v>26</v>
      </c>
    </row>
    <row r="53" spans="1:2" ht="10.5">
      <c r="A53" s="3" t="s">
        <v>44</v>
      </c>
      <c r="B53" s="2" t="s">
        <v>95</v>
      </c>
    </row>
    <row r="54" spans="1:2" ht="10.5">
      <c r="A54" s="3" t="s">
        <v>98</v>
      </c>
      <c r="B54" s="2" t="s">
        <v>97</v>
      </c>
    </row>
    <row r="58" spans="1:2" ht="10.5">
      <c r="A58" s="3" t="s">
        <v>15</v>
      </c>
      <c r="B58" s="2" t="s">
        <v>35</v>
      </c>
    </row>
    <row r="59" spans="1:2" ht="10.5">
      <c r="A59" s="3" t="s">
        <v>113</v>
      </c>
      <c r="B59" s="2" t="s">
        <v>109</v>
      </c>
    </row>
    <row r="60" spans="1:2" ht="10.5">
      <c r="A60" s="3" t="s">
        <v>114</v>
      </c>
      <c r="B60" s="2" t="s">
        <v>110</v>
      </c>
    </row>
    <row r="61" spans="1:2" ht="10.5">
      <c r="A61" s="3" t="s">
        <v>48</v>
      </c>
      <c r="B61" s="2" t="s">
        <v>111</v>
      </c>
    </row>
    <row r="62" spans="1:2" ht="10.5">
      <c r="A62" s="3" t="s">
        <v>115</v>
      </c>
      <c r="B62" s="2" t="s">
        <v>112</v>
      </c>
    </row>
    <row r="64" spans="1:2" ht="10.5">
      <c r="A64" s="3" t="s">
        <v>0</v>
      </c>
      <c r="B64" s="2" t="s">
        <v>100</v>
      </c>
    </row>
    <row r="65" spans="1:2" ht="10.5">
      <c r="A65" s="3" t="s">
        <v>1</v>
      </c>
      <c r="B65" s="2" t="s">
        <v>101</v>
      </c>
    </row>
    <row r="66" spans="1:2" ht="10.5">
      <c r="A66" s="3" t="s">
        <v>106</v>
      </c>
      <c r="B66" s="2" t="s">
        <v>102</v>
      </c>
    </row>
    <row r="67" spans="1:2" ht="10.5">
      <c r="A67" s="3" t="s">
        <v>107</v>
      </c>
      <c r="B67" s="2" t="s">
        <v>103</v>
      </c>
    </row>
    <row r="68" spans="1:2" ht="10.5">
      <c r="A68" s="3" t="s">
        <v>108</v>
      </c>
      <c r="B68" s="2" t="s">
        <v>104</v>
      </c>
    </row>
    <row r="69" spans="1:2" ht="10.5">
      <c r="A69" s="3" t="s">
        <v>116</v>
      </c>
      <c r="B69" s="2" t="s">
        <v>105</v>
      </c>
    </row>
    <row r="71" ht="10.5">
      <c r="B71" s="2" t="s">
        <v>24</v>
      </c>
    </row>
    <row r="72" ht="10.5">
      <c r="B72" s="2" t="s">
        <v>22</v>
      </c>
    </row>
    <row r="73" ht="10.5">
      <c r="B73" s="2" t="s">
        <v>23</v>
      </c>
    </row>
    <row r="74" ht="10.5">
      <c r="B74" s="2" t="s">
        <v>64</v>
      </c>
    </row>
    <row r="75" ht="10.5">
      <c r="B75" s="2" t="s">
        <v>63</v>
      </c>
    </row>
    <row r="76" ht="10.5">
      <c r="B76" s="2" t="s">
        <v>117</v>
      </c>
    </row>
    <row r="77" ht="10.5">
      <c r="B77" s="2" t="s">
        <v>118</v>
      </c>
    </row>
    <row r="78" ht="10.5">
      <c r="B78" s="2" t="s">
        <v>119</v>
      </c>
    </row>
    <row r="79" ht="10.5">
      <c r="B79" s="2" t="s">
        <v>120</v>
      </c>
    </row>
    <row r="80" ht="10.5">
      <c r="B80" s="2" t="s">
        <v>121</v>
      </c>
    </row>
    <row r="81" ht="10.5">
      <c r="B81" s="2" t="s">
        <v>122</v>
      </c>
    </row>
    <row r="82" ht="10.5">
      <c r="B82" s="2" t="s">
        <v>123</v>
      </c>
    </row>
    <row r="83" ht="10.5">
      <c r="B83" s="2" t="s">
        <v>124</v>
      </c>
    </row>
    <row r="84" ht="10.5">
      <c r="B84" s="2" t="s">
        <v>125</v>
      </c>
    </row>
    <row r="85" ht="10.5">
      <c r="B85" s="2" t="s">
        <v>126</v>
      </c>
    </row>
    <row r="86" ht="10.5">
      <c r="B86" s="2" t="s">
        <v>127</v>
      </c>
    </row>
    <row r="87" ht="10.5">
      <c r="B87" s="2" t="s">
        <v>100</v>
      </c>
    </row>
    <row r="88" ht="10.5">
      <c r="B88" s="2" t="s">
        <v>128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</dc:creator>
  <cp:keywords/>
  <dc:description/>
  <cp:lastModifiedBy>kalle</cp:lastModifiedBy>
  <cp:lastPrinted>2006-04-10T18:52:05Z</cp:lastPrinted>
  <dcterms:created xsi:type="dcterms:W3CDTF">2006-01-21T13:44:00Z</dcterms:created>
  <dcterms:modified xsi:type="dcterms:W3CDTF">2010-07-14T10:06:46Z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TC101450531033</vt:lpwstr>
  </property>
</Properties>
</file>